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AB39D642-6D48-41B3-84C6-B8E4DD3BF769}" xr6:coauthVersionLast="47" xr6:coauthVersionMax="47" xr10:uidLastSave="{00000000-0000-0000-0000-000000000000}"/>
  <bookViews>
    <workbookView xWindow="-120" yWindow="-120" windowWidth="29040" windowHeight="15720" tabRatio="816" firstSheet="1" activeTab="6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" sheetId="218" r:id="rId6"/>
    <sheet name="SEG. PUBLICA" sheetId="216" r:id="rId7"/>
    <sheet name="PROT.CIVIL" sheetId="217" r:id="rId8"/>
  </sheets>
  <definedNames>
    <definedName name="_xlnm._FilterDatabase" localSheetId="2" hidden="1">BASE!$F$104:$F$112</definedName>
    <definedName name="_xlnm.Print_Area" localSheetId="2">BASE!$N$104:$Z$105</definedName>
    <definedName name="_xlnm.Print_Area" localSheetId="4">PENSIONADOS!$B$1:$AJ$36</definedName>
    <definedName name="_xlnm.Print_Area" localSheetId="7">PROT.CIVIL!$B$2:$M$36</definedName>
    <definedName name="_xlnm.Print_Area" localSheetId="1">REGIDORES!$B$1:$N$28</definedName>
    <definedName name="_xlnm.Print_Area" localSheetId="6">'SEG. PUBLICA'!$B$1:$L$42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18" l="1"/>
  <c r="G11" i="218"/>
  <c r="G12" i="218"/>
  <c r="G13" i="218"/>
  <c r="G14" i="218"/>
  <c r="G15" i="218"/>
  <c r="G16" i="218"/>
  <c r="G17" i="218"/>
  <c r="G18" i="218"/>
  <c r="G19" i="218"/>
  <c r="G20" i="218"/>
  <c r="G21" i="218"/>
  <c r="G22" i="218"/>
  <c r="G23" i="218"/>
  <c r="G24" i="218"/>
  <c r="G25" i="218"/>
  <c r="G26" i="218"/>
  <c r="G27" i="218"/>
  <c r="G36" i="218"/>
  <c r="G8" i="216"/>
  <c r="I8" i="216" s="1"/>
  <c r="G9" i="216"/>
  <c r="I9" i="216" s="1"/>
  <c r="J9" i="216" s="1"/>
  <c r="G10" i="216"/>
  <c r="I10" i="216" s="1"/>
  <c r="J10" i="216" s="1"/>
  <c r="G13" i="216"/>
  <c r="I13" i="216" s="1"/>
  <c r="J13" i="216" s="1"/>
  <c r="G14" i="216"/>
  <c r="I14" i="216" s="1"/>
  <c r="J14" i="216" s="1"/>
  <c r="G15" i="216"/>
  <c r="I15" i="216" s="1"/>
  <c r="J15" i="216" s="1"/>
  <c r="G16" i="216"/>
  <c r="I16" i="216" s="1"/>
  <c r="J16" i="216" s="1"/>
  <c r="G17" i="216"/>
  <c r="I17" i="216"/>
  <c r="J17" i="216" s="1"/>
  <c r="G18" i="216"/>
  <c r="I18" i="216" s="1"/>
  <c r="J18" i="216" s="1"/>
  <c r="G19" i="216"/>
  <c r="I19" i="216" s="1"/>
  <c r="J19" i="216" s="1"/>
  <c r="G20" i="216"/>
  <c r="I20" i="216" s="1"/>
  <c r="J20" i="216" s="1"/>
  <c r="G22" i="216"/>
  <c r="I22" i="216" s="1"/>
  <c r="J22" i="216" s="1"/>
  <c r="G23" i="216"/>
  <c r="I23" i="216" s="1"/>
  <c r="J23" i="216" s="1"/>
  <c r="G24" i="216"/>
  <c r="I24" i="216" s="1"/>
  <c r="J24" i="216" s="1"/>
  <c r="G25" i="216"/>
  <c r="I25" i="216" s="1"/>
  <c r="J25" i="216" s="1"/>
  <c r="G26" i="216"/>
  <c r="I26" i="216" s="1"/>
  <c r="J26" i="216" s="1"/>
  <c r="G27" i="216"/>
  <c r="I27" i="216" s="1"/>
  <c r="J27" i="216" s="1"/>
  <c r="G29" i="216"/>
  <c r="I29" i="216" s="1"/>
  <c r="J29" i="216" s="1"/>
  <c r="G30" i="216"/>
  <c r="I30" i="216" s="1"/>
  <c r="J30" i="216" s="1"/>
  <c r="G38" i="216"/>
  <c r="K38" i="216" s="1"/>
  <c r="I38" i="216"/>
  <c r="J38" i="216" s="1"/>
  <c r="G11" i="216"/>
  <c r="I11" i="216" s="1"/>
  <c r="J11" i="216" s="1"/>
  <c r="G12" i="216"/>
  <c r="I12" i="216" s="1"/>
  <c r="J12" i="216" s="1"/>
  <c r="G21" i="216"/>
  <c r="I21" i="216"/>
  <c r="J21" i="216" s="1"/>
  <c r="K21" i="216" s="1"/>
  <c r="G31" i="216"/>
  <c r="I31" i="216"/>
  <c r="J31" i="216" s="1"/>
  <c r="K31" i="216" s="1"/>
  <c r="G32" i="216"/>
  <c r="I32" i="216"/>
  <c r="J32" i="216" s="1"/>
  <c r="K32" i="216" s="1"/>
  <c r="G33" i="216"/>
  <c r="I33" i="216"/>
  <c r="J33" i="216" s="1"/>
  <c r="K33" i="216" s="1"/>
  <c r="G34" i="216"/>
  <c r="I34" i="216"/>
  <c r="J34" i="216" s="1"/>
  <c r="K34" i="216" s="1"/>
  <c r="G35" i="216"/>
  <c r="I35" i="216"/>
  <c r="J35" i="216" s="1"/>
  <c r="K35" i="216" s="1"/>
  <c r="G36" i="216"/>
  <c r="I36" i="216"/>
  <c r="J36" i="216" s="1"/>
  <c r="K36" i="216" s="1"/>
  <c r="G37" i="216"/>
  <c r="I37" i="216"/>
  <c r="J37" i="216" s="1"/>
  <c r="K37" i="216" s="1"/>
  <c r="G28" i="216"/>
  <c r="I28" i="216"/>
  <c r="J28" i="216" s="1"/>
  <c r="K28" i="216" s="1"/>
  <c r="H10" i="215"/>
  <c r="J10" i="215"/>
  <c r="L10" i="215"/>
  <c r="M10" i="215"/>
  <c r="O10" i="215"/>
  <c r="H11" i="215"/>
  <c r="J11" i="215"/>
  <c r="L11" i="215"/>
  <c r="M11" i="215"/>
  <c r="O11" i="215"/>
  <c r="H12" i="215"/>
  <c r="J12" i="215"/>
  <c r="L12" i="215"/>
  <c r="M12" i="215"/>
  <c r="O12" i="215"/>
  <c r="H13" i="215"/>
  <c r="J13" i="215"/>
  <c r="L13" i="215"/>
  <c r="M13" i="215"/>
  <c r="O13" i="215"/>
  <c r="H14" i="215"/>
  <c r="J14" i="215"/>
  <c r="L14" i="215"/>
  <c r="M14" i="215"/>
  <c r="O14" i="215"/>
  <c r="H19" i="215"/>
  <c r="J19" i="215"/>
  <c r="L19" i="215"/>
  <c r="M19" i="215"/>
  <c r="O19" i="215"/>
  <c r="O21" i="215"/>
  <c r="H9" i="205"/>
  <c r="J9" i="205"/>
  <c r="K9" i="205"/>
  <c r="L9" i="205"/>
  <c r="N9" i="205"/>
  <c r="H10" i="205"/>
  <c r="J10" i="205"/>
  <c r="K10" i="205"/>
  <c r="L10" i="205"/>
  <c r="N10" i="205"/>
  <c r="H11" i="205"/>
  <c r="J11" i="205"/>
  <c r="K11" i="205"/>
  <c r="L11" i="205"/>
  <c r="N11" i="205"/>
  <c r="H12" i="205"/>
  <c r="J12" i="205"/>
  <c r="K12" i="205"/>
  <c r="L12" i="205"/>
  <c r="N12" i="205"/>
  <c r="H15" i="205"/>
  <c r="J15" i="205"/>
  <c r="K15" i="205"/>
  <c r="L15" i="205"/>
  <c r="N15" i="205"/>
  <c r="H18" i="205"/>
  <c r="J18" i="205"/>
  <c r="K18" i="205"/>
  <c r="L18" i="205"/>
  <c r="N18" i="205"/>
  <c r="H19" i="205"/>
  <c r="J19" i="205"/>
  <c r="K19" i="205"/>
  <c r="L19" i="205"/>
  <c r="N19" i="205"/>
  <c r="H22" i="205"/>
  <c r="J22" i="205"/>
  <c r="K22" i="205"/>
  <c r="L22" i="205"/>
  <c r="N22" i="205"/>
  <c r="H24" i="205"/>
  <c r="J24" i="205"/>
  <c r="K24" i="205"/>
  <c r="L24" i="205"/>
  <c r="N24" i="205"/>
  <c r="H25" i="205"/>
  <c r="J25" i="205"/>
  <c r="K25" i="205"/>
  <c r="L25" i="205"/>
  <c r="N25" i="205"/>
  <c r="H26" i="205"/>
  <c r="J26" i="205"/>
  <c r="K26" i="205"/>
  <c r="L26" i="205"/>
  <c r="N26" i="205"/>
  <c r="H27" i="205"/>
  <c r="J27" i="205"/>
  <c r="K27" i="205"/>
  <c r="L27" i="205"/>
  <c r="N27" i="205"/>
  <c r="H30" i="205"/>
  <c r="J30" i="205"/>
  <c r="K30" i="205"/>
  <c r="L30" i="205"/>
  <c r="N30" i="205"/>
  <c r="H31" i="205"/>
  <c r="J31" i="205"/>
  <c r="K31" i="205"/>
  <c r="L31" i="205"/>
  <c r="N31" i="205"/>
  <c r="H34" i="205"/>
  <c r="J34" i="205"/>
  <c r="K34" i="205"/>
  <c r="L34" i="205"/>
  <c r="N34" i="205"/>
  <c r="H35" i="205"/>
  <c r="J35" i="205"/>
  <c r="K35" i="205"/>
  <c r="L35" i="205"/>
  <c r="N35" i="205"/>
  <c r="H36" i="205"/>
  <c r="J36" i="205"/>
  <c r="K36" i="205"/>
  <c r="L36" i="205"/>
  <c r="N36" i="205"/>
  <c r="H37" i="205"/>
  <c r="J37" i="205"/>
  <c r="K37" i="205"/>
  <c r="L37" i="205"/>
  <c r="N37" i="205"/>
  <c r="H40" i="205"/>
  <c r="J40" i="205"/>
  <c r="K40" i="205"/>
  <c r="L40" i="205"/>
  <c r="N40" i="205"/>
  <c r="H43" i="205"/>
  <c r="J43" i="205"/>
  <c r="K43" i="205"/>
  <c r="L43" i="205"/>
  <c r="N43" i="205"/>
  <c r="H46" i="205"/>
  <c r="J46" i="205"/>
  <c r="K46" i="205"/>
  <c r="L46" i="205"/>
  <c r="N46" i="205"/>
  <c r="H47" i="205"/>
  <c r="J47" i="205"/>
  <c r="K47" i="205"/>
  <c r="L47" i="205"/>
  <c r="N47" i="205"/>
  <c r="H50" i="205"/>
  <c r="J50" i="205"/>
  <c r="K50" i="205"/>
  <c r="L50" i="205"/>
  <c r="N50" i="205"/>
  <c r="H54" i="205"/>
  <c r="J54" i="205"/>
  <c r="K54" i="205"/>
  <c r="L54" i="205"/>
  <c r="N54" i="205"/>
  <c r="H60" i="205"/>
  <c r="J60" i="205"/>
  <c r="K60" i="205"/>
  <c r="L60" i="205"/>
  <c r="N60" i="205"/>
  <c r="H61" i="205"/>
  <c r="J61" i="205"/>
  <c r="K61" i="205"/>
  <c r="L61" i="205"/>
  <c r="N61" i="205"/>
  <c r="H62" i="205"/>
  <c r="J62" i="205"/>
  <c r="K62" i="205"/>
  <c r="L62" i="205"/>
  <c r="N62" i="205"/>
  <c r="H63" i="205"/>
  <c r="J63" i="205"/>
  <c r="K63" i="205"/>
  <c r="L63" i="205"/>
  <c r="N63" i="205"/>
  <c r="H64" i="205"/>
  <c r="J64" i="205"/>
  <c r="K64" i="205"/>
  <c r="L64" i="205"/>
  <c r="N64" i="205"/>
  <c r="H65" i="205"/>
  <c r="J65" i="205"/>
  <c r="K65" i="205"/>
  <c r="L65" i="205"/>
  <c r="N65" i="205"/>
  <c r="H68" i="205"/>
  <c r="J68" i="205"/>
  <c r="K68" i="205"/>
  <c r="L68" i="205"/>
  <c r="N68" i="205"/>
  <c r="H71" i="205"/>
  <c r="J71" i="205"/>
  <c r="K71" i="205"/>
  <c r="L71" i="205"/>
  <c r="N71" i="205"/>
  <c r="H72" i="205"/>
  <c r="J72" i="205"/>
  <c r="K72" i="205"/>
  <c r="L72" i="205"/>
  <c r="N72" i="205"/>
  <c r="H76" i="205"/>
  <c r="J76" i="205"/>
  <c r="K76" i="205"/>
  <c r="L76" i="205"/>
  <c r="N76" i="205"/>
  <c r="H77" i="205"/>
  <c r="J77" i="205"/>
  <c r="K77" i="205"/>
  <c r="L77" i="205"/>
  <c r="N77" i="205"/>
  <c r="H80" i="205"/>
  <c r="J80" i="205"/>
  <c r="K80" i="205"/>
  <c r="L80" i="205"/>
  <c r="N80" i="205"/>
  <c r="H83" i="205"/>
  <c r="J83" i="205"/>
  <c r="K83" i="205"/>
  <c r="L83" i="205"/>
  <c r="N83" i="205"/>
  <c r="H86" i="205"/>
  <c r="J86" i="205"/>
  <c r="K86" i="205"/>
  <c r="L86" i="205"/>
  <c r="N86" i="205"/>
  <c r="H87" i="205"/>
  <c r="J87" i="205"/>
  <c r="K87" i="205"/>
  <c r="L87" i="205"/>
  <c r="N87" i="205"/>
  <c r="H90" i="205"/>
  <c r="J90" i="205"/>
  <c r="K90" i="205"/>
  <c r="L90" i="205"/>
  <c r="N90" i="205"/>
  <c r="H91" i="205"/>
  <c r="L91" i="205"/>
  <c r="N91" i="205"/>
  <c r="H94" i="205"/>
  <c r="J94" i="205"/>
  <c r="K94" i="205"/>
  <c r="L94" i="205"/>
  <c r="N94" i="205"/>
  <c r="H97" i="205"/>
  <c r="J97" i="205"/>
  <c r="K97" i="205"/>
  <c r="L97" i="205"/>
  <c r="N97" i="205"/>
  <c r="H100" i="205"/>
  <c r="J100" i="205"/>
  <c r="K100" i="205"/>
  <c r="L100" i="205"/>
  <c r="N100" i="205"/>
  <c r="N103" i="205"/>
  <c r="H8" i="206"/>
  <c r="J8" i="206"/>
  <c r="K8" i="206"/>
  <c r="L8" i="206"/>
  <c r="N8" i="206"/>
  <c r="H9" i="206"/>
  <c r="J9" i="206"/>
  <c r="K9" i="206"/>
  <c r="L9" i="206"/>
  <c r="N9" i="206"/>
  <c r="H10" i="206"/>
  <c r="J10" i="206"/>
  <c r="K10" i="206"/>
  <c r="L10" i="206"/>
  <c r="N10" i="206"/>
  <c r="H12" i="206"/>
  <c r="J12" i="206"/>
  <c r="K12" i="206"/>
  <c r="L12" i="206"/>
  <c r="N12" i="206"/>
  <c r="H14" i="206"/>
  <c r="J14" i="206"/>
  <c r="K14" i="206"/>
  <c r="L14" i="206"/>
  <c r="N14" i="206"/>
  <c r="H15" i="206"/>
  <c r="J15" i="206"/>
  <c r="K15" i="206"/>
  <c r="L15" i="206"/>
  <c r="N15" i="206"/>
  <c r="H18" i="206"/>
  <c r="J18" i="206"/>
  <c r="K18" i="206"/>
  <c r="L18" i="206"/>
  <c r="N18" i="206"/>
  <c r="H21" i="206"/>
  <c r="J21" i="206"/>
  <c r="K21" i="206"/>
  <c r="L21" i="206"/>
  <c r="N21" i="206"/>
  <c r="H22" i="206"/>
  <c r="J22" i="206"/>
  <c r="K22" i="206"/>
  <c r="L22" i="206"/>
  <c r="N22" i="206"/>
  <c r="H23" i="206"/>
  <c r="J23" i="206"/>
  <c r="K23" i="206"/>
  <c r="L23" i="206"/>
  <c r="N23" i="206"/>
  <c r="H26" i="206"/>
  <c r="J26" i="206"/>
  <c r="K26" i="206"/>
  <c r="L26" i="206"/>
  <c r="N26" i="206"/>
  <c r="H27" i="206"/>
  <c r="J27" i="206"/>
  <c r="K27" i="206"/>
  <c r="L27" i="206"/>
  <c r="N27" i="206"/>
  <c r="H29" i="206"/>
  <c r="J29" i="206"/>
  <c r="K29" i="206"/>
  <c r="L29" i="206"/>
  <c r="N29" i="206"/>
  <c r="H30" i="206"/>
  <c r="J30" i="206"/>
  <c r="K30" i="206"/>
  <c r="L30" i="206"/>
  <c r="N30" i="206"/>
  <c r="H37" i="206"/>
  <c r="J37" i="206"/>
  <c r="K37" i="206"/>
  <c r="L37" i="206"/>
  <c r="N37" i="206"/>
  <c r="H38" i="206"/>
  <c r="J38" i="206"/>
  <c r="K38" i="206"/>
  <c r="L38" i="206"/>
  <c r="N38" i="206"/>
  <c r="H43" i="206"/>
  <c r="J43" i="206"/>
  <c r="K43" i="206"/>
  <c r="L43" i="206"/>
  <c r="N43" i="206"/>
  <c r="H45" i="206"/>
  <c r="J45" i="206"/>
  <c r="K45" i="206"/>
  <c r="L45" i="206"/>
  <c r="N45" i="206"/>
  <c r="H48" i="206"/>
  <c r="J48" i="206"/>
  <c r="K48" i="206"/>
  <c r="L48" i="206"/>
  <c r="N48" i="206"/>
  <c r="H49" i="206"/>
  <c r="J49" i="206"/>
  <c r="K49" i="206"/>
  <c r="L49" i="206"/>
  <c r="N49" i="206"/>
  <c r="H50" i="206"/>
  <c r="J50" i="206"/>
  <c r="K50" i="206"/>
  <c r="L50" i="206"/>
  <c r="N50" i="206"/>
  <c r="H51" i="206"/>
  <c r="J51" i="206"/>
  <c r="K51" i="206"/>
  <c r="L51" i="206"/>
  <c r="N51" i="206"/>
  <c r="H60" i="206"/>
  <c r="J60" i="206"/>
  <c r="K60" i="206"/>
  <c r="L60" i="206"/>
  <c r="N60" i="206"/>
  <c r="H61" i="206"/>
  <c r="J61" i="206"/>
  <c r="K61" i="206"/>
  <c r="L61" i="206"/>
  <c r="N61" i="206"/>
  <c r="H62" i="206"/>
  <c r="J62" i="206"/>
  <c r="K62" i="206"/>
  <c r="L62" i="206"/>
  <c r="N62" i="206"/>
  <c r="H71" i="206"/>
  <c r="J71" i="206"/>
  <c r="K71" i="206"/>
  <c r="L71" i="206"/>
  <c r="N71" i="206"/>
  <c r="H72" i="206"/>
  <c r="J72" i="206"/>
  <c r="K72" i="206"/>
  <c r="L72" i="206"/>
  <c r="N72" i="206"/>
  <c r="H75" i="206"/>
  <c r="J75" i="206"/>
  <c r="K75" i="206"/>
  <c r="L75" i="206"/>
  <c r="N75" i="206"/>
  <c r="H88" i="206"/>
  <c r="J88" i="206"/>
  <c r="K88" i="206"/>
  <c r="L88" i="206"/>
  <c r="N88" i="206"/>
  <c r="H92" i="206"/>
  <c r="J92" i="206"/>
  <c r="K92" i="206"/>
  <c r="L92" i="206"/>
  <c r="N92" i="206"/>
  <c r="H95" i="206"/>
  <c r="J95" i="206"/>
  <c r="K95" i="206"/>
  <c r="L95" i="206"/>
  <c r="N95" i="206"/>
  <c r="H103" i="206"/>
  <c r="J103" i="206"/>
  <c r="K103" i="206"/>
  <c r="L103" i="206"/>
  <c r="N103" i="206"/>
  <c r="H104" i="206"/>
  <c r="J104" i="206"/>
  <c r="K104" i="206"/>
  <c r="L104" i="206"/>
  <c r="N104" i="206"/>
  <c r="H108" i="206"/>
  <c r="J108" i="206"/>
  <c r="K108" i="206"/>
  <c r="L108" i="206"/>
  <c r="N108" i="206"/>
  <c r="N111" i="206"/>
  <c r="H114" i="206"/>
  <c r="J114" i="206"/>
  <c r="K114" i="206"/>
  <c r="L114" i="206"/>
  <c r="N114" i="206"/>
  <c r="H116" i="206"/>
  <c r="J116" i="206"/>
  <c r="K116" i="206"/>
  <c r="L116" i="206"/>
  <c r="N116" i="206"/>
  <c r="H122" i="206"/>
  <c r="J122" i="206"/>
  <c r="K122" i="206"/>
  <c r="L122" i="206"/>
  <c r="N122" i="206"/>
  <c r="H124" i="206"/>
  <c r="J124" i="206"/>
  <c r="K124" i="206"/>
  <c r="L124" i="206"/>
  <c r="N124" i="206"/>
  <c r="N127" i="206"/>
  <c r="H128" i="206"/>
  <c r="J128" i="206"/>
  <c r="K128" i="206"/>
  <c r="L128" i="206"/>
  <c r="N128" i="206"/>
  <c r="N130" i="206"/>
  <c r="H134" i="206"/>
  <c r="J134" i="206"/>
  <c r="K134" i="206"/>
  <c r="L134" i="206"/>
  <c r="N134" i="206"/>
  <c r="N137" i="206"/>
  <c r="P21" i="215"/>
  <c r="H19" i="217"/>
  <c r="J19" i="217"/>
  <c r="L19" i="217"/>
  <c r="H30" i="217"/>
  <c r="J30" i="217"/>
  <c r="L30" i="217"/>
  <c r="H31" i="217"/>
  <c r="J31" i="217"/>
  <c r="L31" i="217"/>
  <c r="H32" i="217"/>
  <c r="J32" i="217"/>
  <c r="L32" i="217"/>
  <c r="H22" i="217"/>
  <c r="J22" i="217"/>
  <c r="L22" i="217"/>
  <c r="H23" i="217"/>
  <c r="J23" i="217"/>
  <c r="L23" i="217"/>
  <c r="H24" i="217"/>
  <c r="J24" i="217"/>
  <c r="L24" i="217"/>
  <c r="L43" i="217"/>
  <c r="K24" i="217"/>
  <c r="K23" i="217"/>
  <c r="K22" i="217"/>
  <c r="H8" i="217"/>
  <c r="J8" i="217"/>
  <c r="L8" i="217"/>
  <c r="H10" i="217"/>
  <c r="J10" i="217"/>
  <c r="L10" i="217"/>
  <c r="H11" i="217"/>
  <c r="J11" i="217"/>
  <c r="L11" i="217"/>
  <c r="H12" i="217"/>
  <c r="J12" i="217"/>
  <c r="L12" i="217"/>
  <c r="H13" i="217"/>
  <c r="J13" i="217"/>
  <c r="L13" i="217"/>
  <c r="H14" i="217"/>
  <c r="J14" i="217"/>
  <c r="L14" i="217"/>
  <c r="H15" i="217"/>
  <c r="J15" i="217"/>
  <c r="L15" i="217"/>
  <c r="H16" i="217"/>
  <c r="J16" i="217"/>
  <c r="L16" i="217"/>
  <c r="H18" i="217"/>
  <c r="J18" i="217"/>
  <c r="L18" i="217"/>
  <c r="H21" i="217"/>
  <c r="J21" i="217"/>
  <c r="L21" i="217"/>
  <c r="H25" i="217"/>
  <c r="J25" i="217"/>
  <c r="L25" i="217"/>
  <c r="H26" i="217"/>
  <c r="J26" i="217"/>
  <c r="L26" i="217"/>
  <c r="H28" i="217"/>
  <c r="J28" i="217"/>
  <c r="L28" i="217"/>
  <c r="H29" i="217"/>
  <c r="J29" i="217"/>
  <c r="L29" i="217"/>
  <c r="H9" i="217"/>
  <c r="J9" i="217"/>
  <c r="L9" i="217"/>
  <c r="H17" i="217"/>
  <c r="J17" i="217"/>
  <c r="L17" i="217"/>
  <c r="H20" i="217"/>
  <c r="J20" i="217"/>
  <c r="K20" i="217"/>
  <c r="L20" i="217"/>
  <c r="L45" i="217"/>
  <c r="K21" i="217"/>
  <c r="H57" i="205"/>
  <c r="J57" i="205"/>
  <c r="K57" i="205"/>
  <c r="L57" i="205"/>
  <c r="L114" i="205"/>
  <c r="H23" i="205"/>
  <c r="J23" i="205"/>
  <c r="K23" i="205"/>
  <c r="L23" i="205"/>
  <c r="H51" i="205"/>
  <c r="L51" i="205"/>
  <c r="H73" i="205"/>
  <c r="J73" i="205"/>
  <c r="K73" i="205"/>
  <c r="L73" i="205"/>
  <c r="L115" i="205"/>
  <c r="G34" i="218"/>
  <c r="L34" i="217"/>
  <c r="K17" i="217"/>
  <c r="L13" i="206"/>
  <c r="H56" i="206"/>
  <c r="L56" i="206"/>
  <c r="H86" i="206"/>
  <c r="J86" i="206"/>
  <c r="K86" i="206"/>
  <c r="L86" i="206"/>
  <c r="H87" i="206"/>
  <c r="J87" i="206"/>
  <c r="K87" i="206"/>
  <c r="L87" i="206"/>
  <c r="H89" i="206"/>
  <c r="J89" i="206"/>
  <c r="K89" i="206"/>
  <c r="L89" i="206"/>
  <c r="H91" i="206"/>
  <c r="J91" i="206"/>
  <c r="K91" i="206"/>
  <c r="L91" i="206"/>
  <c r="H96" i="206"/>
  <c r="J96" i="206"/>
  <c r="K96" i="206"/>
  <c r="L96" i="206"/>
  <c r="H98" i="206"/>
  <c r="J98" i="206"/>
  <c r="K98" i="206"/>
  <c r="L98" i="206"/>
  <c r="H101" i="206"/>
  <c r="J101" i="206"/>
  <c r="K101" i="206"/>
  <c r="L101" i="206"/>
  <c r="H119" i="206"/>
  <c r="J119" i="206"/>
  <c r="K119" i="206"/>
  <c r="L119" i="206"/>
  <c r="H63" i="206"/>
  <c r="L63" i="206"/>
  <c r="H70" i="206"/>
  <c r="J70" i="206"/>
  <c r="K70" i="206"/>
  <c r="L70" i="206"/>
  <c r="H131" i="206"/>
  <c r="L131" i="206"/>
  <c r="K148" i="206"/>
  <c r="H11" i="206"/>
  <c r="J11" i="206"/>
  <c r="K11" i="206"/>
  <c r="L11" i="206"/>
  <c r="L16" i="206"/>
  <c r="L19" i="206"/>
  <c r="L24" i="206"/>
  <c r="H28" i="206"/>
  <c r="J28" i="206"/>
  <c r="K28" i="206"/>
  <c r="L28" i="206"/>
  <c r="L31" i="206"/>
  <c r="H33" i="206"/>
  <c r="J33" i="206"/>
  <c r="K33" i="206"/>
  <c r="L33" i="206"/>
  <c r="H34" i="206"/>
  <c r="J34" i="206"/>
  <c r="K34" i="206"/>
  <c r="L34" i="206"/>
  <c r="H35" i="206"/>
  <c r="J35" i="206"/>
  <c r="K35" i="206"/>
  <c r="L35" i="206"/>
  <c r="H36" i="206"/>
  <c r="J36" i="206"/>
  <c r="K36" i="206"/>
  <c r="L36" i="206"/>
  <c r="L39" i="206"/>
  <c r="H41" i="206"/>
  <c r="J41" i="206"/>
  <c r="K41" i="206"/>
  <c r="L41" i="206"/>
  <c r="H42" i="206"/>
  <c r="J42" i="206"/>
  <c r="K42" i="206"/>
  <c r="L42" i="206"/>
  <c r="H44" i="206"/>
  <c r="J44" i="206"/>
  <c r="K44" i="206"/>
  <c r="L44" i="206"/>
  <c r="H46" i="206"/>
  <c r="J46" i="206"/>
  <c r="K46" i="206"/>
  <c r="L46" i="206"/>
  <c r="H47" i="206"/>
  <c r="J47" i="206"/>
  <c r="K47" i="206"/>
  <c r="L47" i="206"/>
  <c r="H52" i="206"/>
  <c r="L52" i="206"/>
  <c r="H53" i="206"/>
  <c r="L53" i="206"/>
  <c r="H54" i="206"/>
  <c r="L54" i="206"/>
  <c r="H55" i="206"/>
  <c r="L55" i="206"/>
  <c r="L57" i="206"/>
  <c r="H59" i="206"/>
  <c r="J59" i="206"/>
  <c r="K59" i="206"/>
  <c r="L59" i="206"/>
  <c r="L64" i="206"/>
  <c r="H66" i="206"/>
  <c r="J66" i="206"/>
  <c r="K66" i="206"/>
  <c r="L66" i="206"/>
  <c r="H67" i="206"/>
  <c r="J67" i="206"/>
  <c r="K67" i="206"/>
  <c r="L67" i="206"/>
  <c r="H68" i="206"/>
  <c r="J68" i="206"/>
  <c r="K68" i="206"/>
  <c r="L68" i="206"/>
  <c r="H69" i="206"/>
  <c r="J69" i="206"/>
  <c r="K69" i="206"/>
  <c r="L69" i="206"/>
  <c r="L73" i="206"/>
  <c r="H76" i="206"/>
  <c r="J76" i="206"/>
  <c r="K76" i="206"/>
  <c r="L76" i="206"/>
  <c r="L77" i="206"/>
  <c r="H79" i="206"/>
  <c r="J79" i="206"/>
  <c r="K79" i="206"/>
  <c r="L79" i="206"/>
  <c r="H80" i="206"/>
  <c r="J80" i="206"/>
  <c r="K80" i="206"/>
  <c r="L80" i="206"/>
  <c r="H81" i="206"/>
  <c r="J81" i="206"/>
  <c r="K81" i="206"/>
  <c r="L81" i="206"/>
  <c r="H82" i="206"/>
  <c r="J82" i="206"/>
  <c r="K82" i="206"/>
  <c r="L82" i="206"/>
  <c r="L83" i="206"/>
  <c r="H85" i="206"/>
  <c r="J85" i="206"/>
  <c r="K85" i="206"/>
  <c r="L85" i="206"/>
  <c r="H90" i="206"/>
  <c r="J90" i="206"/>
  <c r="K90" i="206"/>
  <c r="L90" i="206"/>
  <c r="H93" i="206"/>
  <c r="J93" i="206"/>
  <c r="K93" i="206"/>
  <c r="L93" i="206"/>
  <c r="H94" i="206"/>
  <c r="J94" i="206"/>
  <c r="K94" i="206"/>
  <c r="L94" i="206"/>
  <c r="H97" i="206"/>
  <c r="J97" i="206"/>
  <c r="K97" i="206"/>
  <c r="L97" i="206"/>
  <c r="L99" i="206"/>
  <c r="H102" i="206"/>
  <c r="J102" i="206"/>
  <c r="K102" i="206"/>
  <c r="L102" i="206"/>
  <c r="H105" i="206"/>
  <c r="J105" i="206"/>
  <c r="K105" i="206"/>
  <c r="L105" i="206"/>
  <c r="H106" i="206"/>
  <c r="J106" i="206"/>
  <c r="K106" i="206"/>
  <c r="L106" i="206"/>
  <c r="H107" i="206"/>
  <c r="J107" i="206"/>
  <c r="K107" i="206"/>
  <c r="L107" i="206"/>
  <c r="H109" i="206"/>
  <c r="J109" i="206"/>
  <c r="K109" i="206"/>
  <c r="L109" i="206"/>
  <c r="H110" i="206"/>
  <c r="J110" i="206"/>
  <c r="K110" i="206"/>
  <c r="L110" i="206"/>
  <c r="L112" i="206"/>
  <c r="H115" i="206"/>
  <c r="J115" i="206"/>
  <c r="K115" i="206"/>
  <c r="L115" i="206"/>
  <c r="H117" i="206"/>
  <c r="J117" i="206"/>
  <c r="K117" i="206"/>
  <c r="L117" i="206"/>
  <c r="H118" i="206"/>
  <c r="J118" i="206"/>
  <c r="K118" i="206"/>
  <c r="L118" i="206"/>
  <c r="L120" i="206"/>
  <c r="H123" i="206"/>
  <c r="J123" i="206"/>
  <c r="K123" i="206"/>
  <c r="L123" i="206"/>
  <c r="H125" i="206"/>
  <c r="J125" i="206"/>
  <c r="K125" i="206"/>
  <c r="L125" i="206"/>
  <c r="L126" i="206"/>
  <c r="L129" i="206"/>
  <c r="L135" i="206"/>
  <c r="L132" i="206"/>
  <c r="L137" i="206"/>
  <c r="J132" i="206"/>
  <c r="K132" i="206"/>
  <c r="M132" i="206"/>
  <c r="I132" i="206"/>
  <c r="H132" i="206"/>
  <c r="H58" i="205"/>
  <c r="I58" i="205"/>
  <c r="J58" i="205"/>
  <c r="K58" i="205"/>
  <c r="L58" i="205"/>
  <c r="H73" i="206"/>
  <c r="I64" i="206"/>
  <c r="J64" i="206"/>
  <c r="K64" i="206"/>
  <c r="H64" i="206"/>
  <c r="I73" i="206"/>
  <c r="J73" i="206"/>
  <c r="K73" i="206"/>
  <c r="M73" i="206"/>
  <c r="H15" i="215"/>
  <c r="J15" i="215"/>
  <c r="L15" i="215"/>
  <c r="M15" i="215"/>
  <c r="H16" i="215"/>
  <c r="J16" i="215"/>
  <c r="L16" i="215"/>
  <c r="M16" i="215"/>
  <c r="H17" i="215"/>
  <c r="J17" i="215"/>
  <c r="L17" i="215"/>
  <c r="M17" i="215"/>
  <c r="H18" i="215"/>
  <c r="J18" i="215"/>
  <c r="L18" i="215"/>
  <c r="M18" i="215"/>
  <c r="M31" i="215"/>
  <c r="K149" i="206"/>
  <c r="H66" i="205"/>
  <c r="H48" i="205"/>
  <c r="H38" i="205"/>
  <c r="H32" i="205"/>
  <c r="L28" i="205"/>
  <c r="I28" i="205"/>
  <c r="J28" i="205"/>
  <c r="K28" i="205"/>
  <c r="I20" i="205"/>
  <c r="I16" i="205"/>
  <c r="J16" i="205"/>
  <c r="K16" i="205"/>
  <c r="L16" i="205"/>
  <c r="I13" i="205"/>
  <c r="J13" i="205"/>
  <c r="K13" i="205"/>
  <c r="L13" i="205"/>
  <c r="H28" i="205"/>
  <c r="M103" i="205"/>
  <c r="I101" i="205"/>
  <c r="J101" i="205"/>
  <c r="H101" i="205"/>
  <c r="I98" i="205"/>
  <c r="H98" i="205"/>
  <c r="I95" i="205"/>
  <c r="H95" i="205"/>
  <c r="I92" i="205"/>
  <c r="J91" i="205"/>
  <c r="H92" i="205"/>
  <c r="I88" i="205"/>
  <c r="J88" i="205"/>
  <c r="I84" i="205"/>
  <c r="I81" i="205"/>
  <c r="I78" i="205"/>
  <c r="J78" i="205"/>
  <c r="I74" i="205"/>
  <c r="I69" i="205"/>
  <c r="I66" i="205"/>
  <c r="I55" i="205"/>
  <c r="I52" i="205"/>
  <c r="J51" i="205"/>
  <c r="I48" i="205"/>
  <c r="I44" i="205"/>
  <c r="K44" i="205"/>
  <c r="I41" i="205"/>
  <c r="H41" i="205"/>
  <c r="I38" i="205"/>
  <c r="I32" i="205"/>
  <c r="H16" i="205"/>
  <c r="H16" i="214"/>
  <c r="J16" i="214"/>
  <c r="O16" i="214"/>
  <c r="Q16" i="214"/>
  <c r="R16" i="214"/>
  <c r="T16" i="214"/>
  <c r="V16" i="214"/>
  <c r="X16" i="214"/>
  <c r="Z16" i="214"/>
  <c r="AC16" i="214"/>
  <c r="AH16" i="214"/>
  <c r="AI16" i="214"/>
  <c r="H20" i="214"/>
  <c r="J20" i="214"/>
  <c r="O20" i="214"/>
  <c r="Q20" i="214"/>
  <c r="R20" i="214"/>
  <c r="T20" i="214"/>
  <c r="V20" i="214"/>
  <c r="X20" i="214"/>
  <c r="Z20" i="214"/>
  <c r="AC20" i="214"/>
  <c r="AH20" i="214"/>
  <c r="AI20" i="214"/>
  <c r="H21" i="214"/>
  <c r="J21" i="214"/>
  <c r="O21" i="214"/>
  <c r="Q21" i="214"/>
  <c r="R21" i="214"/>
  <c r="T21" i="214"/>
  <c r="V21" i="214"/>
  <c r="X21" i="214"/>
  <c r="Z21" i="214"/>
  <c r="AC21" i="214"/>
  <c r="AH21" i="214"/>
  <c r="AI21" i="214"/>
  <c r="H22" i="214"/>
  <c r="J22" i="214"/>
  <c r="O22" i="214"/>
  <c r="Q22" i="214"/>
  <c r="R22" i="214"/>
  <c r="T22" i="214"/>
  <c r="V22" i="214"/>
  <c r="X22" i="214"/>
  <c r="Z22" i="214"/>
  <c r="AC22" i="214"/>
  <c r="AH22" i="214"/>
  <c r="AI22" i="214"/>
  <c r="H23" i="214"/>
  <c r="J23" i="214"/>
  <c r="O23" i="214"/>
  <c r="Q23" i="214"/>
  <c r="R23" i="214"/>
  <c r="T23" i="214"/>
  <c r="V23" i="214"/>
  <c r="X23" i="214"/>
  <c r="Z23" i="214"/>
  <c r="AC23" i="214"/>
  <c r="AH23" i="214"/>
  <c r="AI23" i="214"/>
  <c r="AI40" i="214"/>
  <c r="H17" i="214"/>
  <c r="J17" i="214"/>
  <c r="O17" i="214"/>
  <c r="Q17" i="214"/>
  <c r="R17" i="214"/>
  <c r="T17" i="214"/>
  <c r="V17" i="214"/>
  <c r="X17" i="214"/>
  <c r="Z17" i="214"/>
  <c r="AC17" i="214"/>
  <c r="AH17" i="214"/>
  <c r="AI17" i="214"/>
  <c r="H18" i="214"/>
  <c r="J18" i="214"/>
  <c r="O18" i="214"/>
  <c r="Q18" i="214"/>
  <c r="R18" i="214"/>
  <c r="T18" i="214"/>
  <c r="V18" i="214"/>
  <c r="X18" i="214"/>
  <c r="Z18" i="214"/>
  <c r="AC18" i="214"/>
  <c r="AH18" i="214"/>
  <c r="AI18" i="214"/>
  <c r="H19" i="214"/>
  <c r="J19" i="214"/>
  <c r="O19" i="214"/>
  <c r="Q19" i="214"/>
  <c r="R19" i="214"/>
  <c r="T19" i="214"/>
  <c r="V19" i="214"/>
  <c r="X19" i="214"/>
  <c r="Z19" i="214"/>
  <c r="AC19" i="214"/>
  <c r="AH19" i="214"/>
  <c r="AI19" i="214"/>
  <c r="AI39" i="214"/>
  <c r="H84" i="205"/>
  <c r="J95" i="205"/>
  <c r="H44" i="205"/>
  <c r="H55" i="205"/>
  <c r="H20" i="205"/>
  <c r="H13" i="205"/>
  <c r="H52" i="205"/>
  <c r="H69" i="205"/>
  <c r="H74" i="205"/>
  <c r="H78" i="205"/>
  <c r="H81" i="205"/>
  <c r="H88" i="205"/>
  <c r="H103" i="205"/>
  <c r="K88" i="205"/>
  <c r="L81" i="205"/>
  <c r="J81" i="205"/>
  <c r="I103" i="205"/>
  <c r="L44" i="205"/>
  <c r="J32" i="205"/>
  <c r="J69" i="205"/>
  <c r="K38" i="205"/>
  <c r="J38" i="205"/>
  <c r="J52" i="205"/>
  <c r="J48" i="205"/>
  <c r="J55" i="205"/>
  <c r="K55" i="205"/>
  <c r="K84" i="205"/>
  <c r="L84" i="205"/>
  <c r="J20" i="205"/>
  <c r="L88" i="205"/>
  <c r="K32" i="205"/>
  <c r="J84" i="205"/>
  <c r="K101" i="205"/>
  <c r="J44" i="205"/>
  <c r="L38" i="205"/>
  <c r="K81" i="205"/>
  <c r="L101" i="205"/>
  <c r="J41" i="205"/>
  <c r="J74" i="205"/>
  <c r="K69" i="205"/>
  <c r="L69" i="205"/>
  <c r="J66" i="205"/>
  <c r="K20" i="205"/>
  <c r="K74" i="205"/>
  <c r="J92" i="205"/>
  <c r="L74" i="205"/>
  <c r="L32" i="205"/>
  <c r="L55" i="205"/>
  <c r="L48" i="205"/>
  <c r="K48" i="205"/>
  <c r="K78" i="205"/>
  <c r="L78" i="205"/>
  <c r="L52" i="205"/>
  <c r="K52" i="205"/>
  <c r="J98" i="205"/>
  <c r="K95" i="205"/>
  <c r="L95" i="205"/>
  <c r="L20" i="205"/>
  <c r="L66" i="205"/>
  <c r="L92" i="205"/>
  <c r="L98" i="205"/>
  <c r="L41" i="205"/>
  <c r="L103" i="205"/>
  <c r="J103" i="205"/>
  <c r="K98" i="205"/>
  <c r="K66" i="205"/>
  <c r="K92" i="205"/>
  <c r="K41" i="205"/>
  <c r="K103" i="205"/>
  <c r="I16" i="206"/>
  <c r="J55" i="206"/>
  <c r="K31" i="217"/>
  <c r="J54" i="206"/>
  <c r="J56" i="206"/>
  <c r="H40" i="216"/>
  <c r="K20" i="215"/>
  <c r="J53" i="206"/>
  <c r="M39" i="206"/>
  <c r="H27" i="217"/>
  <c r="H111" i="206"/>
  <c r="H126" i="206"/>
  <c r="H25" i="214"/>
  <c r="J27" i="217"/>
  <c r="J111" i="206"/>
  <c r="J52" i="206"/>
  <c r="J57" i="206"/>
  <c r="J39" i="206"/>
  <c r="J83" i="206"/>
  <c r="K32" i="217"/>
  <c r="K13" i="217"/>
  <c r="H34" i="217"/>
  <c r="K8" i="217"/>
  <c r="K12" i="217"/>
  <c r="K16" i="217"/>
  <c r="K19" i="217"/>
  <c r="K15" i="217"/>
  <c r="K11" i="217"/>
  <c r="K9" i="217"/>
  <c r="K14" i="217"/>
  <c r="K25" i="217"/>
  <c r="K10" i="217"/>
  <c r="K18" i="217"/>
  <c r="K30" i="217"/>
  <c r="K26" i="217"/>
  <c r="K34" i="217"/>
  <c r="J34" i="217"/>
  <c r="I34" i="217"/>
  <c r="L46" i="217"/>
  <c r="L48" i="217"/>
  <c r="N20" i="215"/>
  <c r="H20" i="215"/>
  <c r="J20" i="215"/>
  <c r="L20" i="215"/>
  <c r="M20" i="215"/>
  <c r="M34" i="215"/>
  <c r="M36" i="215"/>
  <c r="AG25" i="214"/>
  <c r="AF25" i="214"/>
  <c r="AE25" i="214"/>
  <c r="AD25" i="214"/>
  <c r="AB25" i="214"/>
  <c r="N25" i="214"/>
  <c r="M25" i="214"/>
  <c r="L25" i="214"/>
  <c r="K25" i="214"/>
  <c r="I25" i="214"/>
  <c r="Q25" i="214"/>
  <c r="J25" i="214"/>
  <c r="R25" i="214"/>
  <c r="O25" i="214"/>
  <c r="W25" i="214"/>
  <c r="Y25" i="214"/>
  <c r="U25" i="214"/>
  <c r="T25" i="214"/>
  <c r="S25" i="214"/>
  <c r="V25" i="214"/>
  <c r="X25" i="214"/>
  <c r="Z25" i="214"/>
  <c r="AC25" i="214"/>
  <c r="AH25" i="214"/>
  <c r="AL25" i="214"/>
  <c r="AI25" i="214"/>
  <c r="AI41" i="214"/>
  <c r="H19" i="206"/>
  <c r="H135" i="206"/>
  <c r="K111" i="206"/>
  <c r="K39" i="206"/>
  <c r="K83" i="206"/>
  <c r="K120" i="206"/>
  <c r="J120" i="206"/>
  <c r="I135" i="206"/>
  <c r="J135" i="206"/>
  <c r="J112" i="206"/>
  <c r="I19" i="206"/>
  <c r="J19" i="206"/>
  <c r="K135" i="206"/>
  <c r="H129" i="206"/>
  <c r="I129" i="206"/>
  <c r="K19" i="206"/>
  <c r="K112" i="206"/>
  <c r="J129" i="206"/>
  <c r="M57" i="206"/>
  <c r="K129" i="206"/>
  <c r="M77" i="206"/>
  <c r="M31" i="206"/>
  <c r="M16" i="206"/>
  <c r="H77" i="206"/>
  <c r="M135" i="206"/>
  <c r="M129" i="206"/>
  <c r="M126" i="206"/>
  <c r="M120" i="206"/>
  <c r="M112" i="206"/>
  <c r="M99" i="206"/>
  <c r="M83" i="206"/>
  <c r="M64" i="206"/>
  <c r="M19" i="206"/>
  <c r="I77" i="206"/>
  <c r="J77" i="206"/>
  <c r="K77" i="206"/>
  <c r="K57" i="206"/>
  <c r="H112" i="206"/>
  <c r="H57" i="206"/>
  <c r="H83" i="206"/>
  <c r="H99" i="206"/>
  <c r="H120" i="206"/>
  <c r="H39" i="206"/>
  <c r="H24" i="206"/>
  <c r="H16" i="206"/>
  <c r="H31" i="206"/>
  <c r="J99" i="206"/>
  <c r="J16" i="206"/>
  <c r="I57" i="206"/>
  <c r="J31" i="206"/>
  <c r="I99" i="206"/>
  <c r="I39" i="206"/>
  <c r="I83" i="206"/>
  <c r="H137" i="206"/>
  <c r="I31" i="206"/>
  <c r="I120" i="206"/>
  <c r="I24" i="206"/>
  <c r="J24" i="206"/>
  <c r="I112" i="206"/>
  <c r="K24" i="206"/>
  <c r="K16" i="206"/>
  <c r="K31" i="206"/>
  <c r="K99" i="206"/>
  <c r="D55" i="2"/>
  <c r="D58" i="2"/>
  <c r="D56" i="2"/>
  <c r="D54" i="2"/>
  <c r="D57" i="2"/>
  <c r="D60" i="2"/>
  <c r="D63" i="2"/>
  <c r="D62" i="2"/>
  <c r="D61" i="2"/>
  <c r="D59" i="2"/>
  <c r="D53" i="2"/>
  <c r="L150" i="206"/>
  <c r="M150" i="206"/>
  <c r="L117" i="205"/>
  <c r="L118" i="205"/>
  <c r="K126" i="206"/>
  <c r="K137" i="206"/>
  <c r="I126" i="206"/>
  <c r="I137" i="206"/>
  <c r="J126" i="206"/>
  <c r="J137" i="206"/>
  <c r="K151" i="206"/>
  <c r="K152" i="206"/>
  <c r="N31" i="215"/>
  <c r="N32" i="215"/>
  <c r="G38" i="218"/>
  <c r="E40" i="215"/>
  <c r="G40" i="218"/>
  <c r="J8" i="216" l="1"/>
  <c r="J40" i="216" s="1"/>
  <c r="I40" i="216"/>
  <c r="K17" i="216"/>
  <c r="K49" i="216"/>
  <c r="G40" i="216"/>
  <c r="K12" i="216"/>
  <c r="K11" i="216"/>
  <c r="K30" i="216"/>
  <c r="K29" i="216"/>
  <c r="K27" i="216"/>
  <c r="K26" i="216"/>
  <c r="K25" i="216"/>
  <c r="K24" i="216"/>
  <c r="K23" i="216"/>
  <c r="K22" i="216"/>
  <c r="K20" i="216"/>
  <c r="K19" i="216"/>
  <c r="K18" i="216"/>
  <c r="K16" i="216"/>
  <c r="K15" i="216"/>
  <c r="K14" i="216"/>
  <c r="K13" i="216"/>
  <c r="K10" i="216"/>
  <c r="K9" i="216"/>
  <c r="K8" i="216"/>
  <c r="L49" i="216" l="1"/>
  <c r="M40" i="215"/>
  <c r="K51" i="216"/>
  <c r="K40" i="216"/>
  <c r="M42" i="215" l="1"/>
  <c r="M44" i="215" s="1"/>
  <c r="L51" i="216"/>
  <c r="K52" i="216"/>
  <c r="K54" i="216" l="1"/>
  <c r="E42" i="215"/>
  <c r="E44" i="215" s="1"/>
</calcChain>
</file>

<file path=xl/sharedStrings.xml><?xml version="1.0" encoding="utf-8"?>
<sst xmlns="http://schemas.openxmlformats.org/spreadsheetml/2006/main" count="1010" uniqueCount="457">
  <si>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</si>
  <si>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</si>
  <si>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</si>
  <si>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</si>
  <si>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</si>
  <si>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</si>
  <si>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</si>
  <si>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</si>
  <si>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</si>
  <si>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</si>
  <si>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</si>
  <si>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</si>
  <si>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</si>
  <si>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</si>
  <si>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</si>
  <si>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</si>
  <si>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</si>
  <si>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</si>
  <si>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</si>
  <si>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</si>
  <si>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</si>
  <si>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</si>
  <si>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</si>
  <si>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</si>
  <si>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</si>
  <si>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</si>
  <si>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</si>
  <si>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</si>
  <si>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</si>
  <si>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</si>
  <si>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</si>
  <si>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</si>
  <si>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</si>
  <si>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</si>
  <si>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</si>
  <si>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</si>
  <si>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</si>
  <si>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</si>
  <si>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</si>
  <si>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</si>
  <si>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</si>
  <si>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</si>
  <si>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</si>
  <si>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</si>
  <si>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</si>
  <si>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OFICIALIA MAYOR</t>
  </si>
  <si>
    <t>DELEGACION EL AMARILLO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</si>
  <si>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</si>
  <si>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</si>
  <si>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</si>
  <si>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</si>
  <si>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</si>
  <si>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</si>
  <si>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</si>
  <si>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</si>
  <si>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</si>
  <si>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</si>
  <si>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</si>
  <si>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</si>
  <si>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</si>
  <si>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</si>
  <si>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</si>
  <si>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</si>
  <si>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</si>
  <si>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</si>
  <si>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</si>
  <si>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</si>
  <si>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</si>
  <si>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Aux. Legal</t>
  </si>
  <si>
    <t>Luis Santos Oliva</t>
  </si>
  <si>
    <t xml:space="preserve">Jefe de No Antec. Penales 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</si>
  <si>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</si>
  <si>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</si>
  <si>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</si>
  <si>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</si>
  <si>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</si>
  <si>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</si>
  <si>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</si>
  <si>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Velador primaria la Estanzuela</t>
  </si>
  <si>
    <t>Velador Secundaria la Estanzuela</t>
  </si>
  <si>
    <t xml:space="preserve">         ENC. DE LA HACIENDA MUNICIPAL</t>
  </si>
  <si>
    <t>Ayudante de electricista</t>
  </si>
  <si>
    <t>Chofer camión de basura</t>
  </si>
  <si>
    <t>Juventud</t>
  </si>
  <si>
    <t>Auxiliar de salud</t>
  </si>
  <si>
    <t>Intendente Esc. Especial</t>
  </si>
  <si>
    <t>Barrendero</t>
  </si>
  <si>
    <t>Velador Estación</t>
  </si>
  <si>
    <t>Encargado campo de futbol</t>
  </si>
  <si>
    <t xml:space="preserve">Recolector </t>
  </si>
  <si>
    <t>Encargado de bomba</t>
  </si>
  <si>
    <t>Barrendera Plaza</t>
  </si>
  <si>
    <t>Promotor de deportes</t>
  </si>
  <si>
    <t>Aseo Centro de Salud Lucio Blanco</t>
  </si>
  <si>
    <t>Juana Salazar Flores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</si>
  <si>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</si>
  <si>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</si>
  <si>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</si>
  <si>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</si>
  <si>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</si>
  <si>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</si>
  <si>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</si>
  <si>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</si>
  <si>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</si>
  <si>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</si>
  <si>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</si>
  <si>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</si>
  <si>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</si>
  <si>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Capturista</t>
  </si>
  <si>
    <t>Intendente Jardin de niños Vicente Guerrero</t>
  </si>
  <si>
    <t>Ma Eduwiges Reyes Ballesteros</t>
  </si>
  <si>
    <t>Aseo centro de salud La Estanzuela</t>
  </si>
  <si>
    <t>Juana Mendoza Moran</t>
  </si>
  <si>
    <t>Ma. de Jesús Contreras Lomelí</t>
  </si>
  <si>
    <t>Jose Refugio Carmona Martinez</t>
  </si>
  <si>
    <t>Jose Luis  Mendez Hernandez</t>
  </si>
  <si>
    <t>Fernando Fuentes Gonzalez</t>
  </si>
  <si>
    <t>Rubén Zepeda Álvarez</t>
  </si>
  <si>
    <t>Ma. De Lourdes Sánchez Meza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</si>
  <si>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</si>
  <si>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</si>
  <si>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</si>
  <si>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</si>
  <si>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</si>
  <si>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</si>
  <si>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</si>
  <si>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</si>
  <si>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</si>
  <si>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</si>
  <si>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</si>
  <si>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</si>
  <si>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</si>
  <si>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</si>
  <si>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</si>
  <si>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</si>
  <si>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</si>
  <si>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María Luisa Jiménez Virgen</t>
  </si>
  <si>
    <t>Cipriano Blanco Candelario</t>
  </si>
  <si>
    <t>Juan Gabriel Tovar Salazar</t>
  </si>
  <si>
    <t>José de Jesús Murillo Sandoval</t>
  </si>
  <si>
    <t>José Antonio Rivera Gallegos</t>
  </si>
  <si>
    <t>Adriana Aguilera Amaral</t>
  </si>
  <si>
    <t>Juan Ramirez Caratachia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</si>
  <si>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</si>
  <si>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</si>
  <si>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</si>
  <si>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</si>
  <si>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</si>
  <si>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</si>
  <si>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</si>
  <si>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Francisco Ortega Rojas</t>
  </si>
  <si>
    <t>Francisco Rodríguez  Ojeda</t>
  </si>
  <si>
    <t>Ernesto Ávila Hernández</t>
  </si>
  <si>
    <t>Brenda Mireya Silva Torres</t>
  </si>
  <si>
    <t>José de Jesús Tapia Maciel</t>
  </si>
  <si>
    <t>Ocday Mendoza Morán</t>
  </si>
  <si>
    <t>Ramón Echeverria Aldaz</t>
  </si>
  <si>
    <t>Silvia Olvera Zúñiga</t>
  </si>
  <si>
    <t>Victoriano Rosales Solorzano</t>
  </si>
  <si>
    <t xml:space="preserve">Nora Guadalupe Meza Camarillo </t>
  </si>
  <si>
    <t>Rebeca Partida Sánchez</t>
  </si>
  <si>
    <t>Ana Bertha Miramontes Cervantes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</si>
  <si>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</si>
  <si>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</si>
  <si>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</si>
  <si>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</si>
  <si>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</si>
  <si>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Raúl del Ángel Solórzano Vázquez</t>
  </si>
  <si>
    <t>C. Irma Cecilia Fernández Hernández</t>
  </si>
  <si>
    <t>Auxiliar de Cultura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</si>
  <si>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</si>
  <si>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</si>
  <si>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</si>
  <si>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</si>
  <si>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</si>
  <si>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</si>
  <si>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</si>
  <si>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</si>
  <si>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</si>
  <si>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</si>
  <si>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</si>
  <si>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</si>
  <si>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</si>
  <si>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</si>
  <si>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EVENTUAL:    (122)</t>
  </si>
  <si>
    <t>DIF</t>
  </si>
  <si>
    <t>TOTAL</t>
  </si>
  <si>
    <t>Subsidio al Empleo</t>
  </si>
  <si>
    <t>ISR Salarios</t>
  </si>
  <si>
    <t>F I R M A</t>
  </si>
  <si>
    <t>Ma. Del Socorro Cuarenta Flores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</si>
  <si>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</si>
  <si>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</si>
  <si>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</si>
  <si>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</si>
  <si>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</si>
  <si>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</si>
  <si>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</si>
  <si>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</si>
  <si>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</si>
  <si>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</si>
  <si>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</si>
  <si>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</si>
  <si>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</si>
  <si>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</si>
  <si>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</si>
  <si>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</si>
  <si>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</si>
  <si>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</si>
  <si>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</si>
  <si>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</si>
  <si>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</si>
  <si>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</si>
  <si>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</si>
  <si>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</si>
  <si>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</si>
  <si>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</si>
  <si>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</si>
  <si>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</si>
  <si>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</si>
  <si>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</si>
  <si>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</si>
  <si>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</si>
  <si>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</si>
  <si>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</si>
  <si>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</si>
  <si>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</si>
  <si>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</si>
  <si>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Aseo Centro de Salud Municipal</t>
  </si>
  <si>
    <t>EF</t>
  </si>
  <si>
    <t>Recaudadora de Agua Potable</t>
  </si>
  <si>
    <t>Irene Oliva Reyes</t>
  </si>
  <si>
    <t>Erica Daniela Plascencia Nava</t>
  </si>
  <si>
    <t>Imelda Virgen Perez</t>
  </si>
  <si>
    <t>Operador de Maquinaria</t>
  </si>
  <si>
    <t>Luis Alberto Rivera Ulloa</t>
  </si>
  <si>
    <t>Juan Alfredo Veliz Frias</t>
  </si>
  <si>
    <t>Paola Esmeralda Flores Cocolan</t>
  </si>
  <si>
    <t>Aseo en el rio</t>
  </si>
  <si>
    <t>MUNICIPIO DE: TEUCHITLÁN JALISCO</t>
  </si>
  <si>
    <t>Otras Deducciones</t>
  </si>
  <si>
    <t>Regidor</t>
  </si>
  <si>
    <t>Síndico</t>
  </si>
  <si>
    <t>SALARIOS TOTALES</t>
  </si>
  <si>
    <t>TOTAL EFECTIVO</t>
  </si>
  <si>
    <t>SALARIOS FORTA</t>
  </si>
  <si>
    <t>TOTAL TARJETA</t>
  </si>
  <si>
    <t>Encargado de invernadero municipal</t>
  </si>
  <si>
    <t>Ma. Guadalupe Armenta Virgen</t>
  </si>
  <si>
    <t>María Guadalupe Hernández Gallegos</t>
  </si>
  <si>
    <t>SEGURIDAD PUBLICA</t>
  </si>
  <si>
    <t>Sub-Comisario</t>
  </si>
  <si>
    <t>Policía de Línea</t>
  </si>
  <si>
    <t>Asistente Administrativa</t>
  </si>
  <si>
    <t>PROTECCION CIVIL</t>
  </si>
  <si>
    <t xml:space="preserve">                                     </t>
  </si>
  <si>
    <t>Andrés Hernández Torres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</si>
  <si>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</si>
  <si>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</si>
  <si>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</si>
  <si>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</si>
  <si>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</si>
  <si>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</si>
  <si>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</si>
  <si>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</si>
  <si>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</si>
  <si>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</si>
  <si>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</si>
  <si>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</si>
  <si>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</si>
  <si>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</si>
  <si>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</si>
  <si>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</si>
  <si>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</si>
  <si>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</si>
  <si>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</si>
  <si>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</si>
  <si>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</si>
  <si>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</si>
  <si>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</si>
  <si>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TABLAS PUBLICADAS EL 29 DE DICIEMBRE DE 2023</t>
  </si>
  <si>
    <t>TARIFAS VIGENTES 2024</t>
  </si>
  <si>
    <t>EJERCICIO 2024</t>
  </si>
  <si>
    <t>Omar Ascencion Arreola Ojeda</t>
  </si>
  <si>
    <t>Maria de los Angeles Vicente Juarez</t>
  </si>
  <si>
    <t>Ruben Eduardo Garcia Fregoso</t>
  </si>
  <si>
    <t>Carlos Jesus Padilla Ruiz</t>
  </si>
  <si>
    <t>Bertha Griselda Garcia Meza</t>
  </si>
  <si>
    <t>Gerardo Gonzalez Sanchez</t>
  </si>
  <si>
    <t>Jose de Jesus Vaca Covarrubias</t>
  </si>
  <si>
    <t>Auxiliar Secretario General</t>
  </si>
  <si>
    <t>Juan Pablo Ortega Ruiz</t>
  </si>
  <si>
    <t>Jose de Jesus Varo Dominguez</t>
  </si>
  <si>
    <t>Oscar Uriel Delgado Calderon</t>
  </si>
  <si>
    <t>Ma de Jesus Saavedra Lopez</t>
  </si>
  <si>
    <t>Limpieza Monte Calvario</t>
  </si>
  <si>
    <t>Yolanda Ornelas Fonseca</t>
  </si>
  <si>
    <t>tabla subsidio publicada el 1 de mayo de 2024</t>
  </si>
  <si>
    <t>Osbaldo Anguiano Gutiérrez</t>
  </si>
  <si>
    <t>Martha Alicia Padilla Bonilla</t>
  </si>
  <si>
    <t>Samuel Valdez Ramirez</t>
  </si>
  <si>
    <t>CD. JOSE ASCENCION MURGUIA SANTIAGO</t>
  </si>
  <si>
    <t>Luisa Saavedra Lopez</t>
  </si>
  <si>
    <t>Maria Isabel Perez Padilla</t>
  </si>
  <si>
    <t>Georgina Yolanda Rivera Gonzalez</t>
  </si>
  <si>
    <t>Encargada del Patrimonio</t>
  </si>
  <si>
    <t>Maria de los Angeles Alvarez Esqueda</t>
  </si>
  <si>
    <t>Vazquez Martinez Arcelia</t>
  </si>
  <si>
    <t>Ruth Pineda Moreno</t>
  </si>
  <si>
    <t>Antonio Israel Zuñiga Santiago</t>
  </si>
  <si>
    <t>Ernesto Alonso Sanchez Partida</t>
  </si>
  <si>
    <t xml:space="preserve">Daniela Elizabeth Marquez Ochoa </t>
  </si>
  <si>
    <t>Nazareth Getzemani Lara Rosales</t>
  </si>
  <si>
    <t xml:space="preserve">Jaime Alberto Rodriguez Ballesteros </t>
  </si>
  <si>
    <t>Jorge Meza Oliva</t>
  </si>
  <si>
    <t>Simon Ulloa Vazquez</t>
  </si>
  <si>
    <t>Manuel Rodriguez Rodriguez</t>
  </si>
  <si>
    <t>Ana Maria Hernardez Echeverria</t>
  </si>
  <si>
    <t>Cesar Alberto Meza Muñoz</t>
  </si>
  <si>
    <t>Rodolfo Rodriguez Gonzalez</t>
  </si>
  <si>
    <t>Juan Pablo Emmanuel Rodriguez Salazar</t>
  </si>
  <si>
    <t>Aseo plaza El Amarillo</t>
  </si>
  <si>
    <t>Monica Vazquez Mejia</t>
  </si>
  <si>
    <t>Ma. Guadalupe Chavez Reyes</t>
  </si>
  <si>
    <t>Missael Aguilera Ramos</t>
  </si>
  <si>
    <t>Juan Alejandro Sandoval Cuarenta</t>
  </si>
  <si>
    <t>Jorge Dennilson Aldair Lozano Silva</t>
  </si>
  <si>
    <t>Keyla Sanchez Montes</t>
  </si>
  <si>
    <t>Ma. Del Carmen Aguilera Sandoval</t>
  </si>
  <si>
    <t>Ana Isabel Calderon Moran</t>
  </si>
  <si>
    <t>Samara Guadalupe Ballesteros Moran</t>
  </si>
  <si>
    <t>Joel Alejandro Ramirez Garcia</t>
  </si>
  <si>
    <t>Martin Olvera Zuñiga</t>
  </si>
  <si>
    <t>Jesus Ruvalcaba Nuñez</t>
  </si>
  <si>
    <t>Ma. Leticia Garcia Castellanos</t>
  </si>
  <si>
    <t>Noemi Guerrero Diaz</t>
  </si>
  <si>
    <t>Ma. Silvia Gonzalez Gonzalez</t>
  </si>
  <si>
    <t>Jefa de Ingresos</t>
  </si>
  <si>
    <t>Jefe de Egresos</t>
  </si>
  <si>
    <t>J. Jesus Hernandez Guzman</t>
  </si>
  <si>
    <t>Miguel Cedano JR. Santiago</t>
  </si>
  <si>
    <t>Miguel Angel Tovar Flores</t>
  </si>
  <si>
    <t>Ma del Carmen Guerrero Bonilla</t>
  </si>
  <si>
    <t>Jesus Arturo Romero Sanchez</t>
  </si>
  <si>
    <t>Supervisor General</t>
  </si>
  <si>
    <t>NOMINA APOYOS DEL MUNICIPIO DE TEUCHITLAN JALISCO</t>
  </si>
  <si>
    <t>SI</t>
  </si>
  <si>
    <t>Guillermo Castellon Olvera</t>
  </si>
  <si>
    <t>Tonantzin CorIna Alvarez Castañeda</t>
  </si>
  <si>
    <t>Dulce Nidia Vazquez Suriano</t>
  </si>
  <si>
    <t>Jose Emmanuel Plascencia Rodriguez</t>
  </si>
  <si>
    <t>efectivo</t>
  </si>
  <si>
    <t>transferencia</t>
  </si>
  <si>
    <t>dif</t>
  </si>
  <si>
    <t>total</t>
  </si>
  <si>
    <t>PERSONAL DE BASE    (113)</t>
  </si>
  <si>
    <t xml:space="preserve">Jose Ascencion Murguia Santiago </t>
  </si>
  <si>
    <t>Presidente Municipal</t>
  </si>
  <si>
    <t>Héctor Emmanuel Corrales Benítez</t>
  </si>
  <si>
    <t>Secretario General</t>
  </si>
  <si>
    <t>Susana Meza Flores</t>
  </si>
  <si>
    <t>Aux. Agropecuario</t>
  </si>
  <si>
    <t>Lilia Elizabeth González Ponce</t>
  </si>
  <si>
    <t>Titular Ce-Mujer</t>
  </si>
  <si>
    <t>Sub-Total</t>
  </si>
  <si>
    <t>Irma Cecilia Fernandez Hernandez</t>
  </si>
  <si>
    <t>Enc. De la hacienda</t>
  </si>
  <si>
    <t>CATASTRO</t>
  </si>
  <si>
    <t>Jorge Lozano Vazquez</t>
  </si>
  <si>
    <t>Alejandra Soto Villalobos</t>
  </si>
  <si>
    <t>Jorge Humberto Camberos García</t>
  </si>
  <si>
    <t>Luis Manuel Camarena Ávila</t>
  </si>
  <si>
    <t>Juan Fernando Medina Corona</t>
  </si>
  <si>
    <t>Bartolome Ramon Ledezma Curiel</t>
  </si>
  <si>
    <t>REGISTRO CIVIL</t>
  </si>
  <si>
    <t>Ana Rosa Sánchez Silva</t>
  </si>
  <si>
    <t>Directora</t>
  </si>
  <si>
    <t>Berenice Silva Zepeda</t>
  </si>
  <si>
    <t>Gabriela Berenice Castro Aguilar</t>
  </si>
  <si>
    <t>Directora De Cultura</t>
  </si>
  <si>
    <t>Alfonso Chavez Saavedra</t>
  </si>
  <si>
    <t>Director de Turismo</t>
  </si>
  <si>
    <t xml:space="preserve">Margarita Villalobos Villagrana </t>
  </si>
  <si>
    <t>Auxiliar de Turismo</t>
  </si>
  <si>
    <t>Lisandro Fabián Núñez Loera</t>
  </si>
  <si>
    <t>Secretario</t>
  </si>
  <si>
    <t>ARCHIVO</t>
  </si>
  <si>
    <t>Adriana Arreola Miramontes</t>
  </si>
  <si>
    <t>Directora de Archivo</t>
  </si>
  <si>
    <t xml:space="preserve"> PART. CIUDADANA</t>
  </si>
  <si>
    <t>Amparo Lizbeth Gonzalez Mariscal</t>
  </si>
  <si>
    <t>Directora Part. Ciudadana</t>
  </si>
  <si>
    <t>Magdaleno Rosales Gallo</t>
  </si>
  <si>
    <t>Irma Ramírez Orozco</t>
  </si>
  <si>
    <t>Jonathan Ramon Grajeda Gallegos</t>
  </si>
  <si>
    <t>Enrique Ortega Ascencio</t>
  </si>
  <si>
    <t>Enc. De Bomba La higuerita</t>
  </si>
  <si>
    <t>TRANSPARENCIA</t>
  </si>
  <si>
    <t>Jesús Emmanuel Gómez Medina</t>
  </si>
  <si>
    <t>CEMENTERIO</t>
  </si>
  <si>
    <t>Silvia Guadalupe Jimenez Zepeda</t>
  </si>
  <si>
    <t>Limpieza</t>
  </si>
  <si>
    <t>Salvador Rivera Venegas</t>
  </si>
  <si>
    <t>Oficial Mayor</t>
  </si>
  <si>
    <t>José de Jesús Santos Martínez</t>
  </si>
  <si>
    <t>Juan Moiscés Ocaranza Flores</t>
  </si>
  <si>
    <t>Chofer</t>
  </si>
  <si>
    <t>Humberto Sierra Contreras</t>
  </si>
  <si>
    <t>Chofer Urvan</t>
  </si>
  <si>
    <t>Juan Lozano Vázquez</t>
  </si>
  <si>
    <t>Héctor Martin Soto Escobedo</t>
  </si>
  <si>
    <t>Chofer Camión</t>
  </si>
  <si>
    <t>DESARROLLO AGROPECUARIO</t>
  </si>
  <si>
    <t>Aniceto Cedano Sánchez</t>
  </si>
  <si>
    <t>Samuel Alejandro Lopez Silva</t>
  </si>
  <si>
    <t>Delegado</t>
  </si>
  <si>
    <t>José Manuel Anguiano Miramontes</t>
  </si>
  <si>
    <t>Director Reg. Civil</t>
  </si>
  <si>
    <t>Evelin López Virgen</t>
  </si>
  <si>
    <t>Enc. Del sistema de agua potable</t>
  </si>
  <si>
    <t>J.Jesus Casillas Sanchez</t>
  </si>
  <si>
    <t>Mario Alberto Rosales Gonzalez</t>
  </si>
  <si>
    <t>Sub Delegado</t>
  </si>
  <si>
    <t>Jorge Vazquez Vazquez</t>
  </si>
  <si>
    <t>Prudencio Aguayo Dueñas</t>
  </si>
  <si>
    <t>José de Jesús Casillas Toscano</t>
  </si>
  <si>
    <t>Inspector</t>
  </si>
  <si>
    <t>J. Guadalupe Saavedra López</t>
  </si>
  <si>
    <t>OBRAS PUBLICAS</t>
  </si>
  <si>
    <t>Roberto Jr Sanchez Rivera</t>
  </si>
  <si>
    <t>Edson Alejandro Gallegos Rosales</t>
  </si>
  <si>
    <t>DEPORTES</t>
  </si>
  <si>
    <t>Sandra Erika Santos Becerra</t>
  </si>
  <si>
    <t>COMUNICACIÓN</t>
  </si>
  <si>
    <t>Adriana Martinez Carrillo</t>
  </si>
  <si>
    <t>MEDIO AMBIENTE YPROMOCION ECONOMICA</t>
  </si>
  <si>
    <t>Bernardette Casillas Santiago</t>
  </si>
  <si>
    <t>Salvador Orozco Santiago</t>
  </si>
  <si>
    <t>Moises Sanchez Silva</t>
  </si>
  <si>
    <t>Prevención Social</t>
  </si>
  <si>
    <t>Alejandra guadalupe Martinez Silva</t>
  </si>
  <si>
    <t>SEGUNDA QUINCENA DE OCTUBRE DEL 2024</t>
  </si>
  <si>
    <t xml:space="preserve">                                         PERIODO DE PAGO: SEGUNDA QUINCENA DE OCTUBRE DEL 2024</t>
  </si>
  <si>
    <t>NOMINA DEL 16 AL 31 DE OCTUBRE DEL 2024</t>
  </si>
  <si>
    <t>PERIODO DE PAGO: SEGUNDA QUINCENA DE OCTUBRE DEL 2024</t>
  </si>
  <si>
    <t>Jorge Antonio Martinez Ortega</t>
  </si>
  <si>
    <t>Jose Manuel Garagarza Ulloa</t>
  </si>
  <si>
    <t>Leslie Ayleen Santos Cuarenta</t>
  </si>
  <si>
    <t>Comandante Operativo</t>
  </si>
  <si>
    <t>Martha Meza Nuñez</t>
  </si>
  <si>
    <t>CEMENTERIOS</t>
  </si>
  <si>
    <t>Jose Luis Vazquez Gomez</t>
  </si>
  <si>
    <t>Sergio Iván Jiménez Salazar</t>
  </si>
  <si>
    <t>Fernando Nahum Guerra</t>
  </si>
  <si>
    <t>Christopher Escareño Lopez</t>
  </si>
  <si>
    <t>Victor Parra Copado</t>
  </si>
  <si>
    <t>Fernando Guadalupe Rodriguez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</si>
</sst>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9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0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9" fillId="0" borderId="4" xfId="2" applyFont="1" applyFill="1" applyBorder="1" applyAlignment="1" applyProtection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3" fontId="18" fillId="0" borderId="0" xfId="0" applyNumberFormat="1" applyFont="1"/>
    <xf numFmtId="2" fontId="18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44" fontId="1" fillId="0" borderId="0" xfId="4" applyFont="1" applyAlignment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1" xfId="0" applyFont="1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29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1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4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/>
    </xf>
    <xf numFmtId="43" fontId="3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8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43" fontId="18" fillId="0" borderId="4" xfId="2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165" fontId="18" fillId="0" borderId="4" xfId="2" applyNumberFormat="1" applyFont="1" applyFill="1" applyBorder="1" applyAlignment="1" applyProtection="1">
      <alignment horizontal="right" vertical="center"/>
    </xf>
    <xf numFmtId="2" fontId="18" fillId="0" borderId="4" xfId="2" applyNumberFormat="1" applyFont="1" applyFill="1" applyBorder="1" applyAlignment="1" applyProtection="1">
      <alignment horizontal="right" vertical="center"/>
    </xf>
    <xf numFmtId="43" fontId="18" fillId="0" borderId="4" xfId="2" applyFont="1" applyFill="1" applyBorder="1" applyAlignment="1" applyProtection="1">
      <alignment horizontal="right" vertical="center"/>
    </xf>
    <xf numFmtId="165" fontId="18" fillId="0" borderId="4" xfId="2" applyNumberFormat="1" applyFont="1" applyFill="1" applyBorder="1" applyAlignment="1" applyProtection="1">
      <alignment horizontal="right" vertical="center"/>
      <protection locked="0"/>
    </xf>
    <xf numFmtId="43" fontId="17" fillId="0" borderId="0" xfId="0" applyNumberFormat="1" applyFont="1"/>
    <xf numFmtId="43" fontId="1" fillId="0" borderId="0" xfId="0" applyNumberFormat="1" applyFont="1" applyAlignment="1">
      <alignment horizontal="center"/>
    </xf>
    <xf numFmtId="0" fontId="1" fillId="0" borderId="4" xfId="0" applyFont="1" applyBorder="1" applyAlignment="1" applyProtection="1">
      <alignment vertical="center"/>
      <protection locked="0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7696</xdr:colOff>
      <xdr:row>0</xdr:row>
      <xdr:rowOff>0</xdr:rowOff>
    </xdr:from>
    <xdr:to>
      <xdr:col>3</xdr:col>
      <xdr:colOff>1258774</xdr:colOff>
      <xdr:row>6</xdr:row>
      <xdr:rowOff>98817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BA5715-2933-44B5-8DCA-407E3793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29" y="0"/>
          <a:ext cx="1498023" cy="1460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57150</xdr:rowOff>
    </xdr:from>
    <xdr:ext cx="835407" cy="844550"/>
    <xdr:pic>
      <xdr:nvPicPr>
        <xdr:cNvPr id="2" name="Imagen 1">
          <a:extLst>
            <a:ext uri="{FF2B5EF4-FFF2-40B4-BE49-F238E27FC236}">
              <a16:creationId xmlns:a16="http://schemas.microsoft.com/office/drawing/2014/main" id="{20A05BF8-013A-4BA5-A171-72D59E12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835407" cy="8445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85990</xdr:rowOff>
    </xdr:from>
    <xdr:to>
      <xdr:col>4</xdr:col>
      <xdr:colOff>223386</xdr:colOff>
      <xdr:row>5</xdr:row>
      <xdr:rowOff>83593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282</v>
      </c>
      <c r="C4" s="8"/>
      <c r="D4" s="8"/>
      <c r="E4" s="8"/>
      <c r="F4" s="8"/>
      <c r="G4" s="8"/>
    </row>
    <row r="5" spans="1:7" x14ac:dyDescent="0.2">
      <c r="B5" t="s">
        <v>297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51" t="s">
        <v>4</v>
      </c>
      <c r="C7" s="351"/>
      <c r="D7" s="351"/>
      <c r="E7" s="8"/>
      <c r="F7" s="344" t="s">
        <v>19</v>
      </c>
      <c r="G7" s="345"/>
    </row>
    <row r="8" spans="1:7" ht="14.25" customHeight="1" x14ac:dyDescent="0.2">
      <c r="B8" s="348" t="s">
        <v>3</v>
      </c>
      <c r="C8" s="348"/>
      <c r="D8" s="348"/>
      <c r="E8" s="8"/>
      <c r="F8" s="349" t="s">
        <v>20</v>
      </c>
      <c r="G8" s="350"/>
    </row>
    <row r="9" spans="1:7" ht="8.25" customHeight="1" x14ac:dyDescent="0.2">
      <c r="B9" s="352"/>
      <c r="C9" s="352"/>
      <c r="D9" s="352"/>
      <c r="E9" s="8"/>
      <c r="F9" s="346"/>
      <c r="G9" s="347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280</v>
      </c>
      <c r="C34" s="8"/>
      <c r="D34" s="8"/>
    </row>
    <row r="35" spans="2:7" x14ac:dyDescent="0.2">
      <c r="B35" s="23" t="s">
        <v>281</v>
      </c>
      <c r="C35" s="8"/>
      <c r="D35" s="8"/>
    </row>
    <row r="37" spans="2:7" x14ac:dyDescent="0.2">
      <c r="B37" t="s">
        <v>297</v>
      </c>
    </row>
    <row r="44" spans="2:7" ht="17.25" customHeight="1" x14ac:dyDescent="0.2">
      <c r="B44" s="6" t="s">
        <v>18</v>
      </c>
      <c r="E44" s="8"/>
      <c r="F44" s="344" t="s">
        <v>23</v>
      </c>
      <c r="G44" s="345"/>
    </row>
    <row r="45" spans="2:7" x14ac:dyDescent="0.2">
      <c r="E45" s="8"/>
      <c r="F45" s="349" t="s">
        <v>24</v>
      </c>
      <c r="G45" s="350"/>
    </row>
    <row r="46" spans="2:7" ht="5.25" customHeight="1" x14ac:dyDescent="0.2">
      <c r="E46" s="8"/>
      <c r="F46" s="346"/>
      <c r="G46" s="347"/>
    </row>
    <row r="47" spans="2:7" x14ac:dyDescent="0.2">
      <c r="B47" s="351" t="s">
        <v>4</v>
      </c>
      <c r="C47" s="351"/>
      <c r="D47" s="351"/>
      <c r="E47" s="8"/>
      <c r="F47" s="10" t="s">
        <v>10</v>
      </c>
      <c r="G47" s="10" t="s">
        <v>11</v>
      </c>
    </row>
    <row r="48" spans="2:7" x14ac:dyDescent="0.2">
      <c r="B48" s="348" t="s">
        <v>3</v>
      </c>
      <c r="C48" s="348"/>
      <c r="D48" s="348"/>
      <c r="E48" s="8"/>
      <c r="F48" s="10"/>
      <c r="G48" s="10" t="s">
        <v>12</v>
      </c>
    </row>
    <row r="49" spans="2:7" x14ac:dyDescent="0.2">
      <c r="B49" s="352"/>
      <c r="C49" s="352"/>
      <c r="D49" s="352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showGridLines="0" topLeftCell="D1" zoomScaleNormal="100" workbookViewId="0">
      <selection activeCell="F1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185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3" style="5" customWidth="1"/>
    <col min="14" max="14" width="23.42578125" style="5" customWidth="1"/>
    <col min="15" max="16384" width="11.42578125" style="5"/>
  </cols>
  <sheetData>
    <row r="1" spans="1:15" x14ac:dyDescent="0.2">
      <c r="B1" s="155"/>
      <c r="C1" s="156"/>
      <c r="D1" s="157"/>
      <c r="E1" s="156"/>
      <c r="F1" s="156"/>
      <c r="G1" s="156"/>
      <c r="H1" s="158"/>
      <c r="I1" s="156"/>
      <c r="J1" s="156"/>
      <c r="K1" s="156"/>
      <c r="L1" s="156"/>
      <c r="M1" s="156"/>
      <c r="N1" s="159"/>
    </row>
    <row r="2" spans="1:15" ht="18.75" x14ac:dyDescent="0.3">
      <c r="B2" s="160"/>
      <c r="C2" s="46"/>
      <c r="D2" s="71"/>
      <c r="E2" s="353" t="s">
        <v>239</v>
      </c>
      <c r="F2" s="353"/>
      <c r="G2" s="353"/>
      <c r="H2" s="353"/>
      <c r="I2" s="353"/>
      <c r="J2" s="353"/>
      <c r="K2" s="353"/>
      <c r="L2" s="353"/>
      <c r="M2" s="353"/>
      <c r="N2" s="354"/>
    </row>
    <row r="3" spans="1:15" x14ac:dyDescent="0.2">
      <c r="B3" s="160"/>
      <c r="C3" s="46"/>
      <c r="D3" s="42"/>
      <c r="E3" s="46"/>
      <c r="F3" s="46"/>
      <c r="G3" s="46"/>
      <c r="H3" s="161"/>
      <c r="I3" s="46"/>
      <c r="J3" s="46"/>
      <c r="K3" s="46"/>
      <c r="L3" s="46"/>
      <c r="M3" s="46"/>
      <c r="N3" s="162"/>
    </row>
    <row r="4" spans="1:15" ht="27.75" customHeight="1" x14ac:dyDescent="0.4">
      <c r="B4" s="160"/>
      <c r="C4" s="46"/>
      <c r="D4" s="42"/>
      <c r="E4" s="343"/>
      <c r="F4" s="46"/>
      <c r="G4" s="46"/>
      <c r="H4" s="161"/>
      <c r="I4" s="46"/>
      <c r="J4" s="46"/>
      <c r="K4" s="46"/>
      <c r="L4" s="46"/>
      <c r="M4" s="46"/>
      <c r="N4" s="162"/>
    </row>
    <row r="5" spans="1:15" x14ac:dyDescent="0.2">
      <c r="B5" s="160"/>
      <c r="C5" s="46"/>
      <c r="D5" s="42"/>
      <c r="E5" s="46"/>
      <c r="F5" s="46"/>
      <c r="G5" s="46"/>
      <c r="H5" s="161"/>
      <c r="I5" s="46"/>
      <c r="J5" s="46"/>
      <c r="K5" s="46"/>
      <c r="L5" s="46"/>
      <c r="M5" s="46"/>
      <c r="N5" s="162"/>
    </row>
    <row r="6" spans="1:15" x14ac:dyDescent="0.2">
      <c r="B6" s="160"/>
      <c r="C6" s="46"/>
      <c r="D6" s="42"/>
      <c r="E6" s="46"/>
      <c r="F6" s="46"/>
      <c r="G6" s="46"/>
      <c r="H6" s="161"/>
      <c r="I6" s="46"/>
      <c r="J6" s="46"/>
      <c r="K6" s="46"/>
      <c r="L6" s="46"/>
      <c r="M6" s="46"/>
      <c r="N6" s="162"/>
    </row>
    <row r="7" spans="1:15" x14ac:dyDescent="0.2">
      <c r="B7" s="160"/>
      <c r="C7" s="46"/>
      <c r="D7" s="42"/>
      <c r="E7" s="46"/>
      <c r="F7" s="46"/>
      <c r="G7" s="46"/>
      <c r="H7" s="161"/>
      <c r="I7" s="46"/>
      <c r="J7" s="46"/>
      <c r="K7" s="46"/>
      <c r="L7" s="46"/>
      <c r="M7" s="46"/>
      <c r="N7" s="162"/>
    </row>
    <row r="8" spans="1:15" ht="30" customHeight="1" x14ac:dyDescent="0.2">
      <c r="B8" s="163"/>
      <c r="C8" s="141"/>
      <c r="D8" s="164"/>
      <c r="E8" s="165"/>
      <c r="F8" s="355" t="s">
        <v>441</v>
      </c>
      <c r="G8" s="355"/>
      <c r="H8" s="355"/>
      <c r="I8" s="355"/>
      <c r="J8" s="355"/>
      <c r="K8" s="355"/>
      <c r="L8" s="355"/>
      <c r="M8" s="166"/>
      <c r="N8" s="167"/>
    </row>
    <row r="9" spans="1:15" s="175" customFormat="1" ht="38.25" x14ac:dyDescent="0.2">
      <c r="A9" s="5"/>
      <c r="B9" s="168" t="s">
        <v>176</v>
      </c>
      <c r="C9" s="169" t="s">
        <v>229</v>
      </c>
      <c r="D9" s="170" t="s">
        <v>14</v>
      </c>
      <c r="E9" s="170" t="s">
        <v>171</v>
      </c>
      <c r="F9" s="170" t="s">
        <v>278</v>
      </c>
      <c r="G9" s="170" t="s">
        <v>175</v>
      </c>
      <c r="H9" s="171" t="s">
        <v>172</v>
      </c>
      <c r="I9" s="170" t="s">
        <v>187</v>
      </c>
      <c r="J9" s="170" t="s">
        <v>188</v>
      </c>
      <c r="K9" s="172" t="s">
        <v>240</v>
      </c>
      <c r="L9" s="172" t="s">
        <v>173</v>
      </c>
      <c r="M9" s="173" t="s">
        <v>170</v>
      </c>
      <c r="N9" s="174" t="s">
        <v>180</v>
      </c>
    </row>
    <row r="10" spans="1:15" s="29" customFormat="1" ht="30" customHeight="1" x14ac:dyDescent="0.2">
      <c r="A10" s="5"/>
      <c r="B10" s="242">
        <v>1</v>
      </c>
      <c r="C10" s="243" t="s">
        <v>346</v>
      </c>
      <c r="D10" s="244" t="s">
        <v>306</v>
      </c>
      <c r="E10" s="244" t="s">
        <v>241</v>
      </c>
      <c r="F10" s="245">
        <v>15</v>
      </c>
      <c r="G10" s="246">
        <v>621.73299999999995</v>
      </c>
      <c r="H10" s="247">
        <f>ROUND(F10*G10,2)</f>
        <v>9326</v>
      </c>
      <c r="I10" s="176">
        <v>0</v>
      </c>
      <c r="J10" s="176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48">
        <v>0</v>
      </c>
      <c r="L10" s="249">
        <f>J10+K10</f>
        <v>1169.01</v>
      </c>
      <c r="M10" s="250">
        <f>H10-L10</f>
        <v>8156.99</v>
      </c>
      <c r="N10" s="251"/>
      <c r="O10" s="29">
        <f>M10/2</f>
        <v>4078.4949999999999</v>
      </c>
    </row>
    <row r="11" spans="1:15" s="29" customFormat="1" ht="30" customHeight="1" x14ac:dyDescent="0.2">
      <c r="A11" s="5"/>
      <c r="B11" s="242">
        <v>2</v>
      </c>
      <c r="C11" s="243" t="s">
        <v>346</v>
      </c>
      <c r="D11" s="149" t="s">
        <v>324</v>
      </c>
      <c r="E11" s="244" t="s">
        <v>241</v>
      </c>
      <c r="F11" s="245">
        <v>15</v>
      </c>
      <c r="G11" s="246">
        <v>621.73299999999995</v>
      </c>
      <c r="H11" s="247">
        <f t="shared" ref="H11:H19" si="1">ROUND(F11*G11,2)</f>
        <v>9326</v>
      </c>
      <c r="I11" s="176">
        <v>0</v>
      </c>
      <c r="J11" s="176">
        <f t="shared" si="0"/>
        <v>1169.01</v>
      </c>
      <c r="K11" s="176">
        <v>0</v>
      </c>
      <c r="L11" s="249">
        <f>J11</f>
        <v>1169.01</v>
      </c>
      <c r="M11" s="250">
        <f>H11-L11</f>
        <v>8156.99</v>
      </c>
      <c r="N11" s="251"/>
      <c r="O11" s="29">
        <f t="shared" ref="O11:O19" si="2">M11/2</f>
        <v>4078.4949999999999</v>
      </c>
    </row>
    <row r="12" spans="1:15" s="29" customFormat="1" ht="30" customHeight="1" x14ac:dyDescent="0.2">
      <c r="A12" s="5"/>
      <c r="B12" s="242">
        <v>3</v>
      </c>
      <c r="C12" s="243" t="s">
        <v>229</v>
      </c>
      <c r="D12" s="78" t="s">
        <v>298</v>
      </c>
      <c r="E12" s="78" t="s">
        <v>241</v>
      </c>
      <c r="F12" s="245">
        <v>15</v>
      </c>
      <c r="G12" s="246">
        <v>621.73299999999995</v>
      </c>
      <c r="H12" s="247">
        <f>ROUND(F12*G12,2)</f>
        <v>9326</v>
      </c>
      <c r="I12" s="176">
        <v>0</v>
      </c>
      <c r="J12" s="176">
        <f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176">
        <v>0</v>
      </c>
      <c r="L12" s="249">
        <f>J12</f>
        <v>1169.01</v>
      </c>
      <c r="M12" s="250">
        <f>H12-L12</f>
        <v>8156.99</v>
      </c>
      <c r="N12" s="251"/>
      <c r="O12" s="29">
        <f t="shared" si="2"/>
        <v>4078.4949999999999</v>
      </c>
    </row>
    <row r="13" spans="1:15" s="29" customFormat="1" ht="30" customHeight="1" x14ac:dyDescent="0.2">
      <c r="A13" s="5"/>
      <c r="B13" s="242">
        <v>4</v>
      </c>
      <c r="C13" s="243" t="s">
        <v>346</v>
      </c>
      <c r="D13" s="244" t="s">
        <v>313</v>
      </c>
      <c r="E13" s="244" t="s">
        <v>241</v>
      </c>
      <c r="F13" s="245">
        <v>15</v>
      </c>
      <c r="G13" s="246">
        <v>621.73299999999995</v>
      </c>
      <c r="H13" s="247">
        <f t="shared" si="1"/>
        <v>9326</v>
      </c>
      <c r="I13" s="176">
        <v>0</v>
      </c>
      <c r="J13" s="176">
        <f t="shared" si="0"/>
        <v>1169.01</v>
      </c>
      <c r="K13" s="176">
        <v>0</v>
      </c>
      <c r="L13" s="249">
        <f t="shared" ref="L13:L19" si="3">J13</f>
        <v>1169.01</v>
      </c>
      <c r="M13" s="250">
        <f t="shared" ref="M13:M19" si="4">H13-L13</f>
        <v>8156.99</v>
      </c>
      <c r="N13" s="251"/>
      <c r="O13" s="29">
        <f t="shared" si="2"/>
        <v>4078.4949999999999</v>
      </c>
    </row>
    <row r="14" spans="1:15" s="29" customFormat="1" ht="30" customHeight="1" x14ac:dyDescent="0.2">
      <c r="A14" s="5"/>
      <c r="B14" s="242">
        <v>5</v>
      </c>
      <c r="C14" s="243" t="s">
        <v>229</v>
      </c>
      <c r="D14" s="244" t="s">
        <v>335</v>
      </c>
      <c r="E14" s="244" t="s">
        <v>241</v>
      </c>
      <c r="F14" s="245">
        <v>15</v>
      </c>
      <c r="G14" s="246">
        <v>621.73299999999995</v>
      </c>
      <c r="H14" s="247">
        <f t="shared" si="1"/>
        <v>9326</v>
      </c>
      <c r="I14" s="176">
        <v>0</v>
      </c>
      <c r="J14" s="176">
        <f t="shared" si="0"/>
        <v>1169.01</v>
      </c>
      <c r="K14" s="176">
        <v>0</v>
      </c>
      <c r="L14" s="249">
        <f t="shared" si="3"/>
        <v>1169.01</v>
      </c>
      <c r="M14" s="250">
        <f t="shared" si="4"/>
        <v>8156.99</v>
      </c>
      <c r="N14" s="251"/>
      <c r="O14" s="29">
        <f t="shared" si="2"/>
        <v>4078.4949999999999</v>
      </c>
    </row>
    <row r="15" spans="1:15" s="29" customFormat="1" ht="30" customHeight="1" x14ac:dyDescent="0.2">
      <c r="A15" s="5"/>
      <c r="B15" s="242">
        <v>6</v>
      </c>
      <c r="C15" s="243" t="s">
        <v>229</v>
      </c>
      <c r="D15" s="244" t="s">
        <v>329</v>
      </c>
      <c r="E15" s="244" t="s">
        <v>241</v>
      </c>
      <c r="F15" s="245">
        <v>15</v>
      </c>
      <c r="G15" s="246">
        <v>621.73299999999995</v>
      </c>
      <c r="H15" s="247">
        <f t="shared" si="1"/>
        <v>9326</v>
      </c>
      <c r="I15" s="176">
        <v>0</v>
      </c>
      <c r="J15" s="176">
        <f t="shared" si="0"/>
        <v>1169.01</v>
      </c>
      <c r="K15" s="176">
        <v>0</v>
      </c>
      <c r="L15" s="249">
        <f t="shared" si="3"/>
        <v>1169.01</v>
      </c>
      <c r="M15" s="250">
        <f t="shared" si="4"/>
        <v>8156.99</v>
      </c>
      <c r="N15" s="251"/>
    </row>
    <row r="16" spans="1:15" s="29" customFormat="1" ht="30" customHeight="1" x14ac:dyDescent="0.2">
      <c r="A16" s="5"/>
      <c r="B16" s="242">
        <v>7</v>
      </c>
      <c r="C16" s="243" t="s">
        <v>229</v>
      </c>
      <c r="D16" s="244" t="s">
        <v>330</v>
      </c>
      <c r="E16" s="244" t="s">
        <v>241</v>
      </c>
      <c r="F16" s="245">
        <v>15</v>
      </c>
      <c r="G16" s="246">
        <v>621.73299999999995</v>
      </c>
      <c r="H16" s="247">
        <f t="shared" si="1"/>
        <v>9326</v>
      </c>
      <c r="I16" s="176">
        <v>0</v>
      </c>
      <c r="J16" s="176">
        <f t="shared" si="0"/>
        <v>1169.01</v>
      </c>
      <c r="K16" s="176">
        <v>0</v>
      </c>
      <c r="L16" s="249">
        <f t="shared" si="3"/>
        <v>1169.01</v>
      </c>
      <c r="M16" s="250">
        <f t="shared" si="4"/>
        <v>8156.99</v>
      </c>
      <c r="N16" s="251"/>
    </row>
    <row r="17" spans="1:16" s="29" customFormat="1" ht="30" customHeight="1" x14ac:dyDescent="0.2">
      <c r="A17" s="5"/>
      <c r="B17" s="242">
        <v>8</v>
      </c>
      <c r="C17" s="243" t="s">
        <v>229</v>
      </c>
      <c r="D17" s="244" t="s">
        <v>331</v>
      </c>
      <c r="E17" s="244" t="s">
        <v>241</v>
      </c>
      <c r="F17" s="245">
        <v>15</v>
      </c>
      <c r="G17" s="246">
        <v>621.73299999999995</v>
      </c>
      <c r="H17" s="247">
        <f t="shared" si="1"/>
        <v>9326</v>
      </c>
      <c r="I17" s="176">
        <v>0</v>
      </c>
      <c r="J17" s="176">
        <f t="shared" si="0"/>
        <v>1169.01</v>
      </c>
      <c r="K17" s="176">
        <v>0</v>
      </c>
      <c r="L17" s="249">
        <f t="shared" si="3"/>
        <v>1169.01</v>
      </c>
      <c r="M17" s="250">
        <f t="shared" si="4"/>
        <v>8156.99</v>
      </c>
      <c r="N17" s="251"/>
    </row>
    <row r="18" spans="1:16" s="29" customFormat="1" ht="30" customHeight="1" x14ac:dyDescent="0.2">
      <c r="A18" s="5"/>
      <c r="B18" s="242">
        <v>9</v>
      </c>
      <c r="C18" s="243" t="s">
        <v>229</v>
      </c>
      <c r="D18" s="244" t="s">
        <v>336</v>
      </c>
      <c r="E18" s="244" t="s">
        <v>241</v>
      </c>
      <c r="F18" s="245">
        <v>15</v>
      </c>
      <c r="G18" s="246">
        <v>621.73299999999995</v>
      </c>
      <c r="H18" s="247">
        <f t="shared" si="1"/>
        <v>9326</v>
      </c>
      <c r="I18" s="176">
        <v>0</v>
      </c>
      <c r="J18" s="176">
        <f t="shared" si="0"/>
        <v>1169.01</v>
      </c>
      <c r="K18" s="176">
        <v>0</v>
      </c>
      <c r="L18" s="249">
        <f t="shared" si="3"/>
        <v>1169.01</v>
      </c>
      <c r="M18" s="250">
        <f t="shared" si="4"/>
        <v>8156.99</v>
      </c>
      <c r="N18" s="251"/>
    </row>
    <row r="19" spans="1:16" s="29" customFormat="1" ht="30" customHeight="1" x14ac:dyDescent="0.2">
      <c r="A19" s="5"/>
      <c r="B19" s="242">
        <v>10</v>
      </c>
      <c r="C19" s="243" t="s">
        <v>346</v>
      </c>
      <c r="D19" s="244" t="s">
        <v>323</v>
      </c>
      <c r="E19" s="244" t="s">
        <v>242</v>
      </c>
      <c r="F19" s="245">
        <v>15</v>
      </c>
      <c r="G19" s="246">
        <v>621.73299999999995</v>
      </c>
      <c r="H19" s="247">
        <f t="shared" si="1"/>
        <v>9326</v>
      </c>
      <c r="I19" s="176">
        <v>0</v>
      </c>
      <c r="J19" s="176">
        <f t="shared" si="0"/>
        <v>1169.01</v>
      </c>
      <c r="K19" s="176">
        <v>0</v>
      </c>
      <c r="L19" s="249">
        <f t="shared" si="3"/>
        <v>1169.01</v>
      </c>
      <c r="M19" s="250">
        <f t="shared" si="4"/>
        <v>8156.99</v>
      </c>
      <c r="N19" s="251"/>
      <c r="O19" s="29">
        <f t="shared" si="2"/>
        <v>4078.4949999999999</v>
      </c>
    </row>
    <row r="20" spans="1:16" s="175" customFormat="1" x14ac:dyDescent="0.2">
      <c r="A20" s="5"/>
      <c r="B20" s="356" t="s">
        <v>17</v>
      </c>
      <c r="C20" s="357"/>
      <c r="D20" s="357"/>
      <c r="E20" s="357"/>
      <c r="F20" s="357"/>
      <c r="G20" s="154"/>
      <c r="H20" s="177">
        <f>SUM(H10:H19)</f>
        <v>93260</v>
      </c>
      <c r="I20" s="176">
        <v>0</v>
      </c>
      <c r="J20" s="177">
        <f>SUM(J10:J19)</f>
        <v>11690.1</v>
      </c>
      <c r="K20" s="177">
        <f>SUM(K10:K19)</f>
        <v>0</v>
      </c>
      <c r="L20" s="177">
        <f>SUM(L10:L19)</f>
        <v>11690.1</v>
      </c>
      <c r="M20" s="177">
        <f>SUM(M10:M19)</f>
        <v>81569.899999999994</v>
      </c>
      <c r="N20" s="178">
        <f>SUM(N10:N19)</f>
        <v>0</v>
      </c>
    </row>
    <row r="21" spans="1:16" x14ac:dyDescent="0.2">
      <c r="B21" s="179"/>
      <c r="C21" s="42"/>
      <c r="D21" s="42"/>
      <c r="E21" s="42"/>
      <c r="F21" s="42"/>
      <c r="G21" s="42"/>
      <c r="H21" s="180"/>
      <c r="I21" s="42"/>
      <c r="J21" s="42"/>
      <c r="K21" s="42"/>
      <c r="L21" s="42"/>
      <c r="M21" s="42"/>
      <c r="N21" s="181"/>
      <c r="O21" s="187">
        <f>SUM(O10:O20)</f>
        <v>24470.969999999998</v>
      </c>
      <c r="P21" s="187">
        <f>O21+BASE!N103+EVENTUALES!N137</f>
        <v>210606.07</v>
      </c>
    </row>
    <row r="22" spans="1:16" x14ac:dyDescent="0.2">
      <c r="B22" s="179"/>
      <c r="C22" s="42"/>
      <c r="D22" s="42"/>
      <c r="E22" s="42"/>
      <c r="F22" s="42"/>
      <c r="G22" s="42"/>
      <c r="H22" s="180"/>
      <c r="I22" s="42"/>
      <c r="J22" s="42"/>
      <c r="K22" s="42"/>
      <c r="L22" s="42"/>
      <c r="M22" s="42"/>
      <c r="N22" s="181"/>
    </row>
    <row r="23" spans="1:16" x14ac:dyDescent="0.2">
      <c r="B23" s="179"/>
      <c r="C23" s="42"/>
      <c r="D23" s="42"/>
      <c r="E23" s="42"/>
      <c r="F23" s="42"/>
      <c r="G23" s="42"/>
      <c r="H23" s="180"/>
      <c r="I23" s="42"/>
      <c r="J23" s="42"/>
      <c r="K23" s="42"/>
      <c r="L23" s="42"/>
      <c r="M23" s="42"/>
      <c r="N23" s="181"/>
    </row>
    <row r="24" spans="1:16" x14ac:dyDescent="0.2">
      <c r="B24" s="179"/>
      <c r="C24" s="42"/>
      <c r="D24" s="42"/>
      <c r="E24" s="42"/>
      <c r="F24" s="42"/>
      <c r="G24" s="42"/>
      <c r="H24" s="180"/>
      <c r="I24" s="42"/>
      <c r="J24" s="42"/>
      <c r="K24" s="42"/>
      <c r="L24" s="42"/>
      <c r="M24" s="42"/>
      <c r="N24" s="181"/>
    </row>
    <row r="25" spans="1:16" x14ac:dyDescent="0.2">
      <c r="B25" s="179"/>
      <c r="C25" s="42"/>
      <c r="D25" s="42"/>
      <c r="E25" s="42"/>
      <c r="F25" s="42"/>
      <c r="G25" s="42"/>
      <c r="H25" s="180"/>
      <c r="I25" s="42"/>
      <c r="J25" s="42"/>
      <c r="K25" s="42"/>
      <c r="L25" s="42"/>
      <c r="M25" s="42"/>
      <c r="N25" s="182"/>
    </row>
    <row r="26" spans="1:16" ht="13.5" x14ac:dyDescent="0.2">
      <c r="B26" s="74"/>
      <c r="D26" s="360" t="s">
        <v>301</v>
      </c>
      <c r="E26" s="360"/>
      <c r="L26" s="73" t="s">
        <v>178</v>
      </c>
      <c r="M26" s="73"/>
      <c r="N26" s="72"/>
    </row>
    <row r="27" spans="1:16" ht="12.75" customHeight="1" x14ac:dyDescent="0.2">
      <c r="B27" s="74"/>
      <c r="D27" s="358" t="s">
        <v>177</v>
      </c>
      <c r="E27" s="358"/>
      <c r="L27" s="358" t="s">
        <v>179</v>
      </c>
      <c r="M27" s="358"/>
      <c r="N27" s="359"/>
    </row>
    <row r="28" spans="1:16" ht="13.5" thickBot="1" x14ac:dyDescent="0.25">
      <c r="B28" s="75"/>
      <c r="C28" s="76"/>
      <c r="D28" s="183"/>
      <c r="E28" s="76"/>
      <c r="F28" s="76"/>
      <c r="G28" s="76"/>
      <c r="H28" s="77"/>
      <c r="I28" s="76"/>
      <c r="J28" s="76"/>
      <c r="K28" s="76"/>
      <c r="L28" s="76"/>
      <c r="M28" s="76"/>
      <c r="N28" s="184"/>
    </row>
    <row r="31" spans="1:16" x14ac:dyDescent="0.2">
      <c r="L31" s="5" t="s">
        <v>73</v>
      </c>
      <c r="M31" s="186">
        <f>M10+M11+M12+M13+M14+M15+M16+M17+M18+M19</f>
        <v>81569.899999999994</v>
      </c>
      <c r="N31" s="187">
        <f>M31+BASE!L114+EVENTUALES!K148+PENSIONADOS!AI39+APOYOS!G34</f>
        <v>483432.26500000001</v>
      </c>
    </row>
    <row r="32" spans="1:16" x14ac:dyDescent="0.2">
      <c r="L32" s="5" t="s">
        <v>74</v>
      </c>
      <c r="M32" s="186"/>
      <c r="N32" s="187">
        <f>M32+BASE!L115+EVENTUALES!K149+PENSIONADOS!AI40+APOYOS!G36</f>
        <v>115710.97899999999</v>
      </c>
    </row>
    <row r="34" spans="4:13" x14ac:dyDescent="0.2">
      <c r="L34" s="5" t="s">
        <v>185</v>
      </c>
      <c r="M34" s="186">
        <f>M32+M31</f>
        <v>81569.899999999994</v>
      </c>
    </row>
    <row r="36" spans="4:13" x14ac:dyDescent="0.2">
      <c r="L36" s="5" t="s">
        <v>186</v>
      </c>
      <c r="M36" s="32">
        <f>M34-M20</f>
        <v>0</v>
      </c>
    </row>
    <row r="40" spans="4:13" x14ac:dyDescent="0.2">
      <c r="D40" s="185" t="s">
        <v>243</v>
      </c>
      <c r="E40" s="187">
        <f>M34+BASE!L117+EVENTUALES!K151+PENSIONADOS!AI41+APOYOS!G38</f>
        <v>599143.24400000006</v>
      </c>
      <c r="J40" s="5" t="s">
        <v>244</v>
      </c>
      <c r="M40" s="187">
        <f>M31+BASE!L114+EVENTUALES!K148+PENSIONADOS!AI39+APOYOS!G34+'SEG. PUBLICA'!K49+PROT.CIVIL!L43</f>
        <v>551852.995</v>
      </c>
    </row>
    <row r="42" spans="4:13" x14ac:dyDescent="0.2">
      <c r="D42" s="185" t="s">
        <v>245</v>
      </c>
      <c r="E42" s="187">
        <f>'SEG. PUBLICA'!K52+PROT.CIVIL!L46</f>
        <v>262817.46999999997</v>
      </c>
      <c r="J42" s="5" t="s">
        <v>246</v>
      </c>
      <c r="M42" s="187">
        <f>M32+BASE!L115+EVENTUALES!K149+PENSIONADOS!AI40+APOYOS!G36+'SEG. PUBLICA'!K51+PROT.CIVIL!L45</f>
        <v>310107.71899999998</v>
      </c>
    </row>
    <row r="44" spans="4:13" x14ac:dyDescent="0.2">
      <c r="D44" s="185" t="s">
        <v>96</v>
      </c>
      <c r="E44" s="187">
        <f>E40+E42</f>
        <v>861960.71400000004</v>
      </c>
      <c r="J44" s="5" t="s">
        <v>96</v>
      </c>
      <c r="M44" s="187">
        <f>SUM(M40:M43)</f>
        <v>861960.71399999992</v>
      </c>
    </row>
    <row r="46" spans="4:13" x14ac:dyDescent="0.2">
      <c r="M46" s="187"/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4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E118"/>
  <sheetViews>
    <sheetView showGridLines="0" topLeftCell="A88" zoomScale="90" zoomScaleNormal="90" workbookViewId="0">
      <selection activeCell="F88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54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4" width="12.42578125" style="28" bestFit="1" customWidth="1"/>
    <col min="15" max="16384" width="11.42578125" style="28"/>
  </cols>
  <sheetData>
    <row r="1" spans="1:26" x14ac:dyDescent="0.2">
      <c r="B1" s="153" t="s">
        <v>28</v>
      </c>
      <c r="C1" s="190"/>
      <c r="D1" s="98"/>
      <c r="E1" s="99"/>
      <c r="F1" s="100"/>
      <c r="G1" s="100"/>
      <c r="H1" s="100"/>
      <c r="I1" s="100"/>
      <c r="J1" s="100"/>
      <c r="K1" s="100"/>
      <c r="L1" s="100"/>
      <c r="M1" s="101"/>
      <c r="N1" s="4"/>
      <c r="O1" s="4"/>
      <c r="P1" s="54"/>
      <c r="Q1" s="35"/>
      <c r="R1" s="25"/>
      <c r="S1" s="25"/>
      <c r="T1" s="25"/>
      <c r="U1" s="25"/>
      <c r="V1" s="25"/>
      <c r="W1" s="25"/>
      <c r="X1" s="25"/>
      <c r="Y1" s="25"/>
      <c r="Z1" s="4"/>
    </row>
    <row r="2" spans="1:26" ht="20.25" x14ac:dyDescent="0.2">
      <c r="B2" s="192"/>
      <c r="C2" s="193"/>
      <c r="D2" s="61"/>
      <c r="E2" s="371" t="s">
        <v>183</v>
      </c>
      <c r="F2" s="371"/>
      <c r="G2" s="371"/>
      <c r="H2" s="371"/>
      <c r="I2" s="371"/>
      <c r="J2" s="371"/>
      <c r="K2" s="103"/>
      <c r="L2" s="103"/>
      <c r="M2" s="104"/>
      <c r="N2" s="4"/>
      <c r="O2" s="4"/>
      <c r="P2" s="54"/>
      <c r="Q2" s="35"/>
      <c r="R2" s="25"/>
      <c r="S2" s="25"/>
      <c r="T2" s="25"/>
      <c r="U2" s="25"/>
      <c r="V2" s="25"/>
      <c r="W2" s="25"/>
      <c r="X2" s="25"/>
      <c r="Y2" s="25"/>
      <c r="Z2" s="4"/>
    </row>
    <row r="3" spans="1:26" x14ac:dyDescent="0.2">
      <c r="B3" s="192"/>
      <c r="C3" s="193"/>
      <c r="D3" s="61"/>
      <c r="E3" s="105"/>
      <c r="F3" s="103"/>
      <c r="G3" s="103"/>
      <c r="H3" s="103"/>
      <c r="I3" s="103"/>
      <c r="J3" s="103"/>
      <c r="K3" s="103"/>
      <c r="L3" s="103"/>
      <c r="M3" s="104"/>
      <c r="N3" s="4"/>
      <c r="O3" s="4"/>
      <c r="P3" s="54"/>
      <c r="Q3" s="35"/>
      <c r="R3" s="25"/>
      <c r="S3" s="25"/>
      <c r="T3" s="25"/>
      <c r="U3" s="25"/>
      <c r="V3" s="25"/>
      <c r="W3" s="25"/>
      <c r="X3" s="25"/>
      <c r="Y3" s="25"/>
      <c r="Z3" s="4"/>
    </row>
    <row r="4" spans="1:26" x14ac:dyDescent="0.2">
      <c r="B4" s="192"/>
      <c r="C4" s="193"/>
      <c r="D4" s="61"/>
      <c r="E4" s="105"/>
      <c r="F4" s="103"/>
      <c r="G4" s="103"/>
      <c r="H4" s="103"/>
      <c r="I4" s="103"/>
      <c r="J4" s="103"/>
      <c r="K4" s="103"/>
      <c r="L4" s="103"/>
      <c r="M4" s="104"/>
      <c r="N4" s="4"/>
      <c r="O4" s="4"/>
      <c r="P4" s="54"/>
      <c r="Q4" s="35"/>
      <c r="R4" s="25"/>
      <c r="S4" s="25"/>
      <c r="T4" s="25"/>
      <c r="U4" s="25"/>
      <c r="V4" s="25"/>
      <c r="W4" s="25"/>
      <c r="X4" s="25"/>
      <c r="Y4" s="25"/>
      <c r="Z4" s="4"/>
    </row>
    <row r="5" spans="1:26" ht="18" customHeight="1" x14ac:dyDescent="0.2">
      <c r="B5" s="106"/>
      <c r="C5" s="38"/>
      <c r="D5" s="61"/>
      <c r="E5" s="372" t="s">
        <v>355</v>
      </c>
      <c r="F5" s="372"/>
      <c r="G5" s="372"/>
      <c r="H5" s="372"/>
      <c r="I5" s="372"/>
      <c r="J5" s="372"/>
      <c r="K5" s="373"/>
      <c r="L5" s="373"/>
      <c r="M5" s="374"/>
      <c r="N5" s="4"/>
      <c r="O5" s="4"/>
      <c r="P5" s="54"/>
      <c r="Q5" s="35"/>
      <c r="R5" s="25"/>
      <c r="S5" s="25"/>
      <c r="T5" s="25"/>
      <c r="U5" s="25"/>
      <c r="V5" s="25"/>
      <c r="W5" s="25"/>
      <c r="X5" s="25"/>
      <c r="Y5" s="25"/>
      <c r="Z5" s="4"/>
    </row>
    <row r="6" spans="1:26" ht="18" customHeight="1" x14ac:dyDescent="0.2">
      <c r="B6" s="106"/>
      <c r="C6" s="38"/>
      <c r="D6" s="61"/>
      <c r="E6" s="229"/>
      <c r="F6" s="229"/>
      <c r="G6" s="229"/>
      <c r="H6" s="229"/>
      <c r="I6" s="230"/>
      <c r="J6" s="230"/>
      <c r="K6" s="227"/>
      <c r="L6" s="227"/>
      <c r="M6" s="228"/>
      <c r="N6" s="4"/>
      <c r="O6" s="4"/>
      <c r="P6" s="54"/>
      <c r="Q6" s="35"/>
      <c r="R6" s="25"/>
      <c r="S6" s="25"/>
      <c r="T6" s="25"/>
      <c r="U6" s="25"/>
      <c r="V6" s="25"/>
      <c r="W6" s="25"/>
      <c r="X6" s="25"/>
      <c r="Y6" s="25"/>
      <c r="Z6" s="4"/>
    </row>
    <row r="7" spans="1:26" ht="18" customHeight="1" thickBot="1" x14ac:dyDescent="0.25">
      <c r="B7" s="106"/>
      <c r="C7" s="38"/>
      <c r="D7" s="375" t="s">
        <v>442</v>
      </c>
      <c r="E7" s="375"/>
      <c r="F7" s="375"/>
      <c r="G7" s="375"/>
      <c r="H7" s="375"/>
      <c r="I7" s="375"/>
      <c r="J7" s="230"/>
      <c r="K7" s="227"/>
      <c r="L7" s="227"/>
      <c r="M7" s="228"/>
      <c r="N7" s="4"/>
      <c r="O7" s="4"/>
      <c r="P7" s="54"/>
      <c r="Q7" s="35"/>
      <c r="R7" s="25"/>
      <c r="S7" s="25"/>
      <c r="T7" s="25"/>
      <c r="U7" s="25"/>
      <c r="V7" s="25"/>
      <c r="W7" s="25"/>
      <c r="X7" s="25"/>
      <c r="Y7" s="25"/>
      <c r="Z7" s="4"/>
    </row>
    <row r="8" spans="1:26" s="27" customFormat="1" ht="36" x14ac:dyDescent="0.2">
      <c r="A8" s="28"/>
      <c r="B8" s="80" t="s">
        <v>176</v>
      </c>
      <c r="C8" s="140" t="s">
        <v>229</v>
      </c>
      <c r="D8" s="81" t="s">
        <v>14</v>
      </c>
      <c r="E8" s="81" t="s">
        <v>171</v>
      </c>
      <c r="F8" s="81" t="s">
        <v>174</v>
      </c>
      <c r="G8" s="81" t="s">
        <v>175</v>
      </c>
      <c r="H8" s="82" t="s">
        <v>172</v>
      </c>
      <c r="I8" s="81" t="s">
        <v>187</v>
      </c>
      <c r="J8" s="81" t="s">
        <v>188</v>
      </c>
      <c r="K8" s="83" t="s">
        <v>173</v>
      </c>
      <c r="L8" s="231" t="s">
        <v>170</v>
      </c>
      <c r="M8" s="232" t="s">
        <v>180</v>
      </c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</row>
    <row r="9" spans="1:26" s="29" customFormat="1" ht="30" customHeight="1" x14ac:dyDescent="0.2">
      <c r="A9" s="5"/>
      <c r="B9" s="252">
        <v>1</v>
      </c>
      <c r="C9" s="253" t="s">
        <v>229</v>
      </c>
      <c r="D9" s="78" t="s">
        <v>356</v>
      </c>
      <c r="E9" s="78" t="s">
        <v>357</v>
      </c>
      <c r="F9" s="53">
        <v>15</v>
      </c>
      <c r="G9" s="235">
        <v>1484.2</v>
      </c>
      <c r="H9" s="233">
        <f>ROUND(F9*G9,2)</f>
        <v>22263</v>
      </c>
      <c r="I9" s="326">
        <v>0</v>
      </c>
      <c r="J9" s="234">
        <f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235">
        <f>J9</f>
        <v>4080.32</v>
      </c>
      <c r="L9" s="235">
        <f>H9+I9-K9</f>
        <v>18182.68</v>
      </c>
      <c r="M9" s="327"/>
      <c r="N9" s="67">
        <f>L9/2</f>
        <v>9091.34</v>
      </c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s="29" customFormat="1" ht="30" customHeight="1" x14ac:dyDescent="0.2">
      <c r="A10" s="5"/>
      <c r="B10" s="252">
        <v>2</v>
      </c>
      <c r="C10" s="253" t="s">
        <v>229</v>
      </c>
      <c r="D10" s="78" t="s">
        <v>358</v>
      </c>
      <c r="E10" s="78" t="s">
        <v>359</v>
      </c>
      <c r="F10" s="53">
        <v>15</v>
      </c>
      <c r="G10" s="235">
        <v>758</v>
      </c>
      <c r="H10" s="233">
        <f>ROUND(F10*G10,2)</f>
        <v>11370</v>
      </c>
      <c r="I10" s="326">
        <v>0</v>
      </c>
      <c r="J10" s="234">
        <f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1605.61</v>
      </c>
      <c r="K10" s="235">
        <f>J10</f>
        <v>1605.61</v>
      </c>
      <c r="L10" s="235">
        <f>H10+I10-K10</f>
        <v>9764.39</v>
      </c>
      <c r="M10" s="327"/>
      <c r="N10" s="67">
        <f t="shared" ref="N10:N12" si="0">L10/2</f>
        <v>4882.1949999999997</v>
      </c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5" customFormat="1" ht="30" customHeight="1" x14ac:dyDescent="0.2">
      <c r="B11" s="252">
        <v>3</v>
      </c>
      <c r="C11" s="253" t="s">
        <v>229</v>
      </c>
      <c r="D11" s="78" t="s">
        <v>360</v>
      </c>
      <c r="E11" s="78" t="s">
        <v>361</v>
      </c>
      <c r="F11" s="53">
        <v>15</v>
      </c>
      <c r="G11" s="235">
        <v>186.26650000000001</v>
      </c>
      <c r="H11" s="233">
        <f>ROUND(F11*G11,2)</f>
        <v>2794</v>
      </c>
      <c r="I11" s="326">
        <v>0</v>
      </c>
      <c r="J11" s="234">
        <f>IF(G11&lt;=248.93,0,(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))</f>
        <v>0</v>
      </c>
      <c r="K11" s="236">
        <f>J11</f>
        <v>0</v>
      </c>
      <c r="L11" s="235">
        <f>H11+I11-K11</f>
        <v>2794</v>
      </c>
      <c r="M11" s="327"/>
      <c r="N11" s="67">
        <f t="shared" si="0"/>
        <v>1397</v>
      </c>
    </row>
    <row r="12" spans="1:26" s="27" customFormat="1" ht="30" customHeight="1" x14ac:dyDescent="0.2">
      <c r="A12" s="28"/>
      <c r="B12" s="252">
        <v>4</v>
      </c>
      <c r="C12" s="253" t="s">
        <v>229</v>
      </c>
      <c r="D12" s="78" t="s">
        <v>362</v>
      </c>
      <c r="E12" s="78" t="s">
        <v>363</v>
      </c>
      <c r="F12" s="53">
        <v>15</v>
      </c>
      <c r="G12" s="235">
        <v>314.60000000000002</v>
      </c>
      <c r="H12" s="233">
        <f>ROUND(F12*G12,2)</f>
        <v>4719</v>
      </c>
      <c r="I12" s="326">
        <v>0</v>
      </c>
      <c r="J12" s="234">
        <f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356.96</v>
      </c>
      <c r="K12" s="235">
        <f>J12</f>
        <v>356.96</v>
      </c>
      <c r="L12" s="235">
        <f>H12+I12-K12</f>
        <v>4362.04</v>
      </c>
      <c r="M12" s="327"/>
      <c r="N12" s="67">
        <f t="shared" si="0"/>
        <v>2181.02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</row>
    <row r="13" spans="1:26" s="29" customFormat="1" ht="30" customHeight="1" x14ac:dyDescent="0.2">
      <c r="A13" s="5"/>
      <c r="B13" s="328"/>
      <c r="C13" s="329"/>
      <c r="D13" s="330"/>
      <c r="E13" s="254" t="s">
        <v>364</v>
      </c>
      <c r="F13" s="273"/>
      <c r="G13" s="331"/>
      <c r="H13" s="79">
        <f>SUM(H9:H12)</f>
        <v>41146</v>
      </c>
      <c r="I13" s="79">
        <f>SUM(I9:I12)</f>
        <v>0</v>
      </c>
      <c r="J13" s="79">
        <f>SUM(J9:J12)</f>
        <v>6042.89</v>
      </c>
      <c r="K13" s="79">
        <f>SUM(K9:K12)</f>
        <v>6042.89</v>
      </c>
      <c r="L13" s="79">
        <f>SUM(L9:L12)</f>
        <v>35103.11</v>
      </c>
      <c r="M13" s="23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30" customFormat="1" ht="30" customHeight="1" x14ac:dyDescent="0.2">
      <c r="A14" s="26"/>
      <c r="B14" s="365" t="s">
        <v>34</v>
      </c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7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</row>
    <row r="15" spans="1:26" s="27" customFormat="1" ht="30" customHeight="1" x14ac:dyDescent="0.2">
      <c r="A15" s="28"/>
      <c r="B15" s="252">
        <v>5</v>
      </c>
      <c r="C15" s="253" t="s">
        <v>229</v>
      </c>
      <c r="D15" s="332" t="s">
        <v>365</v>
      </c>
      <c r="E15" s="78" t="s">
        <v>366</v>
      </c>
      <c r="F15" s="53">
        <v>15</v>
      </c>
      <c r="G15" s="235">
        <v>844.13300000000004</v>
      </c>
      <c r="H15" s="233">
        <f>ROUND(F15*G15,2)</f>
        <v>12662</v>
      </c>
      <c r="I15" s="234">
        <v>0</v>
      </c>
      <c r="J15" s="234">
        <f>IF(G15&lt;=248.93,0,(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))</f>
        <v>1881.58</v>
      </c>
      <c r="K15" s="235">
        <f>J15</f>
        <v>1881.58</v>
      </c>
      <c r="L15" s="235">
        <f>H15+I15-K15</f>
        <v>10780.42</v>
      </c>
      <c r="M15" s="238"/>
      <c r="N15" s="188">
        <f>L15/2</f>
        <v>5390.21</v>
      </c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</row>
    <row r="16" spans="1:26" s="29" customFormat="1" ht="30" customHeight="1" x14ac:dyDescent="0.2">
      <c r="A16" s="5"/>
      <c r="B16" s="328"/>
      <c r="C16" s="329"/>
      <c r="D16" s="330"/>
      <c r="E16" s="254" t="s">
        <v>33</v>
      </c>
      <c r="F16" s="254"/>
      <c r="G16" s="240"/>
      <c r="H16" s="79">
        <f>SUM(H15:H15)</f>
        <v>12662</v>
      </c>
      <c r="I16" s="79">
        <f>SUM(I15:I15)</f>
        <v>0</v>
      </c>
      <c r="J16" s="79">
        <f>SUM(J15:J15)</f>
        <v>1881.58</v>
      </c>
      <c r="K16" s="79">
        <f>SUM(K15:K15)</f>
        <v>1881.58</v>
      </c>
      <c r="L16" s="79">
        <f>SUM(L15:L15)</f>
        <v>10780.42</v>
      </c>
      <c r="M16" s="23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s="30" customFormat="1" ht="30" customHeight="1" x14ac:dyDescent="0.2">
      <c r="A17" s="26"/>
      <c r="B17" s="365" t="s">
        <v>367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7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</row>
    <row r="18" spans="1:26" s="5" customFormat="1" ht="30" customHeight="1" x14ac:dyDescent="0.2">
      <c r="B18" s="252">
        <v>6</v>
      </c>
      <c r="C18" s="253" t="s">
        <v>229</v>
      </c>
      <c r="D18" s="332" t="s">
        <v>368</v>
      </c>
      <c r="E18" s="78" t="s">
        <v>35</v>
      </c>
      <c r="F18" s="53">
        <v>15</v>
      </c>
      <c r="G18" s="235">
        <v>441.834</v>
      </c>
      <c r="H18" s="233">
        <f>ROUND(F18*G18,2)</f>
        <v>6627.51</v>
      </c>
      <c r="I18" s="234">
        <v>0</v>
      </c>
      <c r="J18" s="234">
        <f>IF(G18&lt;=248.93,0,(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))</f>
        <v>627.51</v>
      </c>
      <c r="K18" s="235">
        <f>J18</f>
        <v>627.51</v>
      </c>
      <c r="L18" s="235">
        <f>H18+I18-K18</f>
        <v>6000</v>
      </c>
      <c r="M18" s="238"/>
      <c r="N18" s="187">
        <f>L18/2</f>
        <v>3000</v>
      </c>
    </row>
    <row r="19" spans="1:26" ht="30" customHeight="1" x14ac:dyDescent="0.2">
      <c r="B19" s="252">
        <v>7</v>
      </c>
      <c r="C19" s="253" t="s">
        <v>229</v>
      </c>
      <c r="D19" s="332" t="s">
        <v>369</v>
      </c>
      <c r="E19" s="78" t="s">
        <v>42</v>
      </c>
      <c r="F19" s="53">
        <v>15</v>
      </c>
      <c r="G19" s="235">
        <v>285.06650000000002</v>
      </c>
      <c r="H19" s="233">
        <f>ROUND(F19*G19,2)</f>
        <v>4276</v>
      </c>
      <c r="I19" s="234">
        <v>0</v>
      </c>
      <c r="J19" s="234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116.33</v>
      </c>
      <c r="K19" s="236">
        <f>J19</f>
        <v>116.33</v>
      </c>
      <c r="L19" s="235">
        <f>H19+I19-K19</f>
        <v>4159.67</v>
      </c>
      <c r="M19" s="238"/>
      <c r="N19" s="187">
        <f>L19/2</f>
        <v>2079.835</v>
      </c>
      <c r="O19" s="4"/>
      <c r="P19" s="54"/>
      <c r="Q19" s="35"/>
      <c r="R19" s="25"/>
      <c r="S19" s="25"/>
      <c r="T19" s="25"/>
      <c r="U19" s="25"/>
      <c r="V19" s="25"/>
      <c r="W19" s="25"/>
      <c r="X19" s="25"/>
      <c r="Y19" s="25"/>
      <c r="Z19" s="4"/>
    </row>
    <row r="20" spans="1:26" ht="30" customHeight="1" x14ac:dyDescent="0.2">
      <c r="B20" s="252"/>
      <c r="C20" s="253"/>
      <c r="D20" s="59"/>
      <c r="E20" s="254" t="s">
        <v>33</v>
      </c>
      <c r="F20" s="273"/>
      <c r="G20" s="240"/>
      <c r="H20" s="79">
        <f>SUM(H18:H19)</f>
        <v>10903.51</v>
      </c>
      <c r="I20" s="79">
        <f>SUM(I18:I19)</f>
        <v>0</v>
      </c>
      <c r="J20" s="79">
        <f>SUM(J18:J19)</f>
        <v>743.84</v>
      </c>
      <c r="K20" s="79">
        <f>SUM(K18:K19)</f>
        <v>743.84</v>
      </c>
      <c r="L20" s="79">
        <f>SUM(L18:L19)</f>
        <v>10159.67</v>
      </c>
      <c r="M20" s="237"/>
      <c r="N20" s="4"/>
      <c r="O20" s="4"/>
      <c r="P20" s="54"/>
      <c r="Q20" s="35"/>
      <c r="R20" s="25"/>
      <c r="S20" s="25"/>
      <c r="T20" s="25"/>
      <c r="U20" s="25"/>
      <c r="V20" s="25"/>
      <c r="W20" s="25"/>
      <c r="X20" s="25"/>
      <c r="Y20" s="25"/>
      <c r="Z20" s="4"/>
    </row>
    <row r="21" spans="1:26" s="5" customFormat="1" ht="30" customHeight="1" x14ac:dyDescent="0.2">
      <c r="B21" s="365" t="s">
        <v>36</v>
      </c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7"/>
    </row>
    <row r="22" spans="1:26" ht="30" customHeight="1" x14ac:dyDescent="0.2">
      <c r="B22" s="252">
        <v>8</v>
      </c>
      <c r="C22" s="253" t="s">
        <v>229</v>
      </c>
      <c r="D22" s="332" t="s">
        <v>437</v>
      </c>
      <c r="E22" s="78" t="s">
        <v>35</v>
      </c>
      <c r="F22" s="53">
        <v>15</v>
      </c>
      <c r="G22" s="235">
        <v>315.13299999999998</v>
      </c>
      <c r="H22" s="233">
        <f t="shared" ref="H22:H27" si="1">ROUND(F22*G22,2)</f>
        <v>4727</v>
      </c>
      <c r="I22" s="234">
        <v>0</v>
      </c>
      <c r="J22" s="234">
        <f t="shared" ref="J22:J27" si="2"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357.83</v>
      </c>
      <c r="K22" s="235">
        <f t="shared" ref="K22:K27" si="3">J22</f>
        <v>357.83</v>
      </c>
      <c r="L22" s="235">
        <f t="shared" ref="L22:L27" si="4">H22+I22-K22</f>
        <v>4369.17</v>
      </c>
      <c r="M22" s="238"/>
      <c r="N22" s="151">
        <f>L22/2</f>
        <v>2184.585</v>
      </c>
      <c r="O22" s="4"/>
      <c r="P22" s="54"/>
      <c r="Q22" s="35"/>
      <c r="R22" s="25"/>
      <c r="S22" s="25"/>
      <c r="T22" s="25"/>
      <c r="U22" s="25"/>
      <c r="V22" s="25"/>
      <c r="W22" s="25"/>
      <c r="X22" s="25"/>
      <c r="Y22" s="25"/>
      <c r="Z22" s="4"/>
    </row>
    <row r="23" spans="1:26" ht="30" customHeight="1" x14ac:dyDescent="0.2">
      <c r="B23" s="252">
        <v>9</v>
      </c>
      <c r="C23" s="253" t="s">
        <v>346</v>
      </c>
      <c r="D23" s="332" t="s">
        <v>438</v>
      </c>
      <c r="E23" s="78" t="s">
        <v>42</v>
      </c>
      <c r="F23" s="53">
        <v>15</v>
      </c>
      <c r="G23" s="235">
        <v>145.66650000000001</v>
      </c>
      <c r="H23" s="233">
        <f t="shared" si="1"/>
        <v>2185</v>
      </c>
      <c r="I23" s="234">
        <v>0</v>
      </c>
      <c r="J23" s="234">
        <f t="shared" si="2"/>
        <v>0</v>
      </c>
      <c r="K23" s="235">
        <f t="shared" si="3"/>
        <v>0</v>
      </c>
      <c r="L23" s="235">
        <f t="shared" si="4"/>
        <v>2185</v>
      </c>
      <c r="M23" s="238"/>
      <c r="N23" s="151"/>
      <c r="O23" s="4"/>
      <c r="P23" s="54"/>
      <c r="Q23" s="35"/>
      <c r="R23" s="25"/>
      <c r="S23" s="25"/>
      <c r="T23" s="25"/>
      <c r="U23" s="25"/>
      <c r="V23" s="25"/>
      <c r="W23" s="25"/>
      <c r="X23" s="25"/>
      <c r="Y23" s="25"/>
      <c r="Z23" s="4"/>
    </row>
    <row r="24" spans="1:26" ht="30" customHeight="1" x14ac:dyDescent="0.2">
      <c r="B24" s="252">
        <v>10</v>
      </c>
      <c r="C24" s="253" t="s">
        <v>346</v>
      </c>
      <c r="D24" s="332" t="s">
        <v>370</v>
      </c>
      <c r="E24" s="78" t="s">
        <v>37</v>
      </c>
      <c r="F24" s="53">
        <v>15</v>
      </c>
      <c r="G24" s="235">
        <v>285.06650000000002</v>
      </c>
      <c r="H24" s="233">
        <f t="shared" si="1"/>
        <v>4276</v>
      </c>
      <c r="I24" s="234">
        <v>0</v>
      </c>
      <c r="J24" s="234">
        <f t="shared" si="2"/>
        <v>116.33</v>
      </c>
      <c r="K24" s="235">
        <f t="shared" si="3"/>
        <v>116.33</v>
      </c>
      <c r="L24" s="235">
        <f t="shared" si="4"/>
        <v>4159.67</v>
      </c>
      <c r="M24" s="238"/>
      <c r="N24" s="151">
        <f t="shared" ref="N24:N27" si="5">L24/2</f>
        <v>2079.835</v>
      </c>
      <c r="O24" s="4"/>
      <c r="P24" s="54"/>
      <c r="Q24" s="35"/>
      <c r="R24" s="25"/>
      <c r="S24" s="25"/>
      <c r="T24" s="25"/>
      <c r="U24" s="25"/>
      <c r="V24" s="25"/>
      <c r="W24" s="25"/>
      <c r="X24" s="25"/>
      <c r="Y24" s="25"/>
      <c r="Z24" s="4"/>
    </row>
    <row r="25" spans="1:26" ht="30" customHeight="1" x14ac:dyDescent="0.2">
      <c r="B25" s="252">
        <v>11</v>
      </c>
      <c r="C25" s="253" t="s">
        <v>229</v>
      </c>
      <c r="D25" s="332" t="s">
        <v>371</v>
      </c>
      <c r="E25" s="78" t="s">
        <v>38</v>
      </c>
      <c r="F25" s="53">
        <v>15</v>
      </c>
      <c r="G25" s="235">
        <v>198.53299999999999</v>
      </c>
      <c r="H25" s="233">
        <f t="shared" si="1"/>
        <v>2978</v>
      </c>
      <c r="I25" s="234">
        <v>0</v>
      </c>
      <c r="J25" s="234">
        <f t="shared" si="2"/>
        <v>0</v>
      </c>
      <c r="K25" s="236">
        <f t="shared" si="3"/>
        <v>0</v>
      </c>
      <c r="L25" s="235">
        <f t="shared" si="4"/>
        <v>2978</v>
      </c>
      <c r="M25" s="238"/>
      <c r="N25" s="151">
        <f t="shared" si="5"/>
        <v>1489</v>
      </c>
      <c r="O25" s="4"/>
      <c r="P25" s="54"/>
      <c r="Q25" s="35"/>
      <c r="R25" s="25"/>
      <c r="S25" s="25"/>
      <c r="T25" s="25"/>
      <c r="U25" s="25"/>
      <c r="V25" s="25"/>
      <c r="W25" s="25"/>
      <c r="X25" s="25"/>
      <c r="Y25" s="25"/>
      <c r="Z25" s="4"/>
    </row>
    <row r="26" spans="1:26" ht="30" customHeight="1" x14ac:dyDescent="0.2">
      <c r="B26" s="252">
        <v>12</v>
      </c>
      <c r="C26" s="253" t="s">
        <v>229</v>
      </c>
      <c r="D26" s="332" t="s">
        <v>372</v>
      </c>
      <c r="E26" s="78" t="s">
        <v>38</v>
      </c>
      <c r="F26" s="53">
        <v>15</v>
      </c>
      <c r="G26" s="235">
        <v>198.53299999999999</v>
      </c>
      <c r="H26" s="233">
        <f t="shared" si="1"/>
        <v>2978</v>
      </c>
      <c r="I26" s="234">
        <v>0</v>
      </c>
      <c r="J26" s="234">
        <f t="shared" si="2"/>
        <v>0</v>
      </c>
      <c r="K26" s="236">
        <f t="shared" si="3"/>
        <v>0</v>
      </c>
      <c r="L26" s="235">
        <f t="shared" si="4"/>
        <v>2978</v>
      </c>
      <c r="M26" s="238"/>
      <c r="N26" s="151">
        <f t="shared" si="5"/>
        <v>1489</v>
      </c>
      <c r="O26" s="4"/>
      <c r="P26" s="54"/>
      <c r="Q26" s="35"/>
      <c r="R26" s="25"/>
      <c r="S26" s="25"/>
      <c r="T26" s="25"/>
      <c r="U26" s="25"/>
      <c r="V26" s="25"/>
      <c r="W26" s="25"/>
      <c r="X26" s="25"/>
      <c r="Y26" s="25"/>
      <c r="Z26" s="4"/>
    </row>
    <row r="27" spans="1:26" ht="30" customHeight="1" x14ac:dyDescent="0.2">
      <c r="B27" s="252">
        <v>13</v>
      </c>
      <c r="C27" s="253" t="s">
        <v>229</v>
      </c>
      <c r="D27" s="332" t="s">
        <v>373</v>
      </c>
      <c r="E27" s="78" t="s">
        <v>38</v>
      </c>
      <c r="F27" s="53">
        <v>15</v>
      </c>
      <c r="G27" s="235">
        <v>198.53299999999999</v>
      </c>
      <c r="H27" s="233">
        <f t="shared" si="1"/>
        <v>2978</v>
      </c>
      <c r="I27" s="234">
        <v>0</v>
      </c>
      <c r="J27" s="234">
        <f t="shared" si="2"/>
        <v>0</v>
      </c>
      <c r="K27" s="236">
        <f t="shared" si="3"/>
        <v>0</v>
      </c>
      <c r="L27" s="235">
        <f t="shared" si="4"/>
        <v>2978</v>
      </c>
      <c r="M27" s="238"/>
      <c r="N27" s="151">
        <f t="shared" si="5"/>
        <v>1489</v>
      </c>
      <c r="O27" s="4"/>
      <c r="P27" s="54"/>
      <c r="Q27" s="35"/>
      <c r="R27" s="25"/>
      <c r="S27" s="25"/>
      <c r="T27" s="25"/>
      <c r="U27" s="25"/>
      <c r="V27" s="25"/>
      <c r="W27" s="25"/>
      <c r="X27" s="25"/>
      <c r="Y27" s="25"/>
      <c r="Z27" s="4"/>
    </row>
    <row r="28" spans="1:26" ht="30" customHeight="1" x14ac:dyDescent="0.2">
      <c r="B28" s="252"/>
      <c r="C28" s="253"/>
      <c r="D28" s="59"/>
      <c r="E28" s="254" t="s">
        <v>33</v>
      </c>
      <c r="F28" s="273"/>
      <c r="G28" s="240"/>
      <c r="H28" s="79">
        <f>SUM(H22:H27)</f>
        <v>20122</v>
      </c>
      <c r="I28" s="79">
        <f>SUM(I22:I27)</f>
        <v>0</v>
      </c>
      <c r="J28" s="79">
        <f>SUM(J22:J27)</f>
        <v>474.15999999999997</v>
      </c>
      <c r="K28" s="79">
        <f>SUM(K22:K27)</f>
        <v>474.15999999999997</v>
      </c>
      <c r="L28" s="79">
        <f>SUM(L22:L27)</f>
        <v>19647.84</v>
      </c>
      <c r="M28" s="237"/>
      <c r="N28" s="4"/>
      <c r="O28" s="4"/>
      <c r="P28" s="54"/>
      <c r="Q28" s="35"/>
      <c r="R28" s="25"/>
      <c r="S28" s="25"/>
      <c r="T28" s="25"/>
      <c r="U28" s="25"/>
      <c r="V28" s="25"/>
      <c r="W28" s="25"/>
      <c r="X28" s="25"/>
      <c r="Y28" s="25"/>
      <c r="Z28" s="4"/>
    </row>
    <row r="29" spans="1:26" ht="30" customHeight="1" x14ac:dyDescent="0.2">
      <c r="B29" s="365" t="s">
        <v>374</v>
      </c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7"/>
      <c r="N29" s="4"/>
      <c r="O29" s="4"/>
      <c r="P29" s="54"/>
      <c r="Q29" s="35"/>
      <c r="R29" s="25"/>
      <c r="S29" s="25"/>
      <c r="T29" s="25"/>
      <c r="U29" s="25"/>
      <c r="V29" s="25"/>
      <c r="W29" s="25"/>
      <c r="X29" s="25"/>
      <c r="Y29" s="25"/>
      <c r="Z29" s="4"/>
    </row>
    <row r="30" spans="1:26" ht="30" customHeight="1" x14ac:dyDescent="0.2">
      <c r="B30" s="252">
        <v>14</v>
      </c>
      <c r="C30" s="253" t="s">
        <v>229</v>
      </c>
      <c r="D30" s="332" t="s">
        <v>375</v>
      </c>
      <c r="E30" s="78" t="s">
        <v>376</v>
      </c>
      <c r="F30" s="53">
        <v>15</v>
      </c>
      <c r="G30" s="235">
        <v>381.4665</v>
      </c>
      <c r="H30" s="233">
        <f>ROUND(F30*G30,2)</f>
        <v>5722</v>
      </c>
      <c r="I30" s="234">
        <v>0</v>
      </c>
      <c r="J30" s="234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477.93</v>
      </c>
      <c r="K30" s="235">
        <f>J30</f>
        <v>477.93</v>
      </c>
      <c r="L30" s="235">
        <f>H30+I30-K30</f>
        <v>5244.07</v>
      </c>
      <c r="M30" s="238"/>
      <c r="N30" s="151">
        <f>L30/2</f>
        <v>2622.0349999999999</v>
      </c>
      <c r="O30" s="4"/>
      <c r="P30" s="54"/>
      <c r="Q30" s="35"/>
      <c r="R30" s="25"/>
      <c r="S30" s="25"/>
      <c r="T30" s="25"/>
      <c r="U30" s="25"/>
      <c r="V30" s="25"/>
      <c r="W30" s="25"/>
      <c r="X30" s="25"/>
      <c r="Y30" s="25"/>
      <c r="Z30" s="4"/>
    </row>
    <row r="31" spans="1:26" ht="30" customHeight="1" x14ac:dyDescent="0.2">
      <c r="B31" s="252">
        <v>15</v>
      </c>
      <c r="C31" s="253" t="s">
        <v>229</v>
      </c>
      <c r="D31" s="332" t="s">
        <v>377</v>
      </c>
      <c r="E31" s="78" t="s">
        <v>42</v>
      </c>
      <c r="F31" s="53">
        <v>15</v>
      </c>
      <c r="G31" s="235">
        <v>228.733</v>
      </c>
      <c r="H31" s="233">
        <f>ROUND(F31*G31,2)</f>
        <v>3431</v>
      </c>
      <c r="I31" s="234">
        <v>0</v>
      </c>
      <c r="J31" s="234">
        <f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0</v>
      </c>
      <c r="K31" s="236">
        <f>J31</f>
        <v>0</v>
      </c>
      <c r="L31" s="235">
        <f>H31+I31-K31</f>
        <v>3431</v>
      </c>
      <c r="M31" s="238"/>
      <c r="N31" s="151">
        <f>L31/2</f>
        <v>1715.5</v>
      </c>
      <c r="O31" s="4"/>
      <c r="P31" s="54"/>
      <c r="Q31" s="35"/>
      <c r="R31" s="25"/>
      <c r="S31" s="25"/>
      <c r="T31" s="25"/>
      <c r="U31" s="25"/>
      <c r="V31" s="25"/>
      <c r="W31" s="25"/>
      <c r="X31" s="25"/>
      <c r="Y31" s="25"/>
      <c r="Z31" s="4"/>
    </row>
    <row r="32" spans="1:26" ht="30" customHeight="1" x14ac:dyDescent="0.2">
      <c r="B32" s="252"/>
      <c r="C32" s="253"/>
      <c r="D32" s="59"/>
      <c r="E32" s="254" t="s">
        <v>33</v>
      </c>
      <c r="F32" s="273"/>
      <c r="G32" s="331"/>
      <c r="H32" s="79">
        <f>SUM(H30:H31)</f>
        <v>9153</v>
      </c>
      <c r="I32" s="239">
        <f>SUM(I30:I31)</f>
        <v>0</v>
      </c>
      <c r="J32" s="79">
        <f>SUM(J30:J31)</f>
        <v>477.93</v>
      </c>
      <c r="K32" s="79">
        <f>SUM(K30:K31)</f>
        <v>477.93</v>
      </c>
      <c r="L32" s="79">
        <f>SUM(L30:L31)</f>
        <v>8675.07</v>
      </c>
      <c r="M32" s="237"/>
      <c r="N32" s="4"/>
      <c r="O32" s="4"/>
      <c r="P32" s="54"/>
      <c r="Q32" s="35"/>
      <c r="R32" s="25"/>
      <c r="S32" s="25"/>
      <c r="T32" s="25"/>
      <c r="U32" s="25"/>
      <c r="V32" s="25"/>
      <c r="W32" s="25"/>
      <c r="X32" s="25"/>
      <c r="Y32" s="25"/>
      <c r="Z32" s="4"/>
    </row>
    <row r="33" spans="1:109" s="5" customFormat="1" ht="30" customHeight="1" x14ac:dyDescent="0.2">
      <c r="B33" s="368" t="s">
        <v>39</v>
      </c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70"/>
    </row>
    <row r="34" spans="1:109" s="63" customFormat="1" ht="30" customHeight="1" x14ac:dyDescent="0.2">
      <c r="A34" s="5"/>
      <c r="B34" s="252">
        <v>16</v>
      </c>
      <c r="C34" s="253" t="s">
        <v>229</v>
      </c>
      <c r="D34" s="332" t="s">
        <v>378</v>
      </c>
      <c r="E34" s="78" t="s">
        <v>379</v>
      </c>
      <c r="F34" s="53">
        <v>15</v>
      </c>
      <c r="G34" s="235">
        <v>315.13299999999998</v>
      </c>
      <c r="H34" s="233">
        <f>ROUND(F34*G34,2)</f>
        <v>4727</v>
      </c>
      <c r="I34" s="234">
        <v>0</v>
      </c>
      <c r="J34" s="234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357.83</v>
      </c>
      <c r="K34" s="235">
        <f>J34</f>
        <v>357.83</v>
      </c>
      <c r="L34" s="235">
        <f>H34+I34-K34</f>
        <v>4369.17</v>
      </c>
      <c r="M34" s="238"/>
      <c r="N34" s="187">
        <f>L34/2</f>
        <v>2184.585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</row>
    <row r="35" spans="1:109" ht="30" customHeight="1" x14ac:dyDescent="0.2">
      <c r="B35" s="252">
        <v>17</v>
      </c>
      <c r="C35" s="253" t="s">
        <v>229</v>
      </c>
      <c r="D35" s="332" t="s">
        <v>380</v>
      </c>
      <c r="E35" s="78" t="s">
        <v>381</v>
      </c>
      <c r="F35" s="53">
        <v>15</v>
      </c>
      <c r="G35" s="235">
        <v>566.03700000000003</v>
      </c>
      <c r="H35" s="233">
        <f>ROUND(F35*G35,2)</f>
        <v>8490.56</v>
      </c>
      <c r="I35" s="234">
        <v>0</v>
      </c>
      <c r="J35" s="234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990.56</v>
      </c>
      <c r="K35" s="235">
        <f>J35</f>
        <v>990.56</v>
      </c>
      <c r="L35" s="235">
        <f>H35+I35-K35</f>
        <v>7500</v>
      </c>
      <c r="M35" s="238"/>
      <c r="N35" s="187">
        <f t="shared" ref="N35:N37" si="6">L35/2</f>
        <v>3750</v>
      </c>
      <c r="O35" s="4"/>
      <c r="P35" s="54"/>
      <c r="Q35" s="35"/>
      <c r="R35" s="25"/>
      <c r="S35" s="25"/>
      <c r="T35" s="25"/>
      <c r="U35" s="25"/>
      <c r="V35" s="25"/>
      <c r="W35" s="25"/>
      <c r="X35" s="25"/>
      <c r="Y35" s="25"/>
      <c r="Z35" s="4"/>
    </row>
    <row r="36" spans="1:109" ht="30" customHeight="1" x14ac:dyDescent="0.2">
      <c r="B36" s="252">
        <v>18</v>
      </c>
      <c r="C36" s="253" t="s">
        <v>229</v>
      </c>
      <c r="D36" s="78" t="s">
        <v>382</v>
      </c>
      <c r="E36" s="78" t="s">
        <v>383</v>
      </c>
      <c r="F36" s="59">
        <v>15</v>
      </c>
      <c r="G36" s="333">
        <v>193.333</v>
      </c>
      <c r="H36" s="218">
        <f>ROUND(F36*G36,2)</f>
        <v>2900</v>
      </c>
      <c r="I36" s="217">
        <v>0</v>
      </c>
      <c r="J36" s="217">
        <f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217">
        <f>J36</f>
        <v>0</v>
      </c>
      <c r="L36" s="218">
        <f>H36+I36-K36</f>
        <v>2900</v>
      </c>
      <c r="M36" s="238"/>
      <c r="N36" s="187">
        <f t="shared" si="6"/>
        <v>1450</v>
      </c>
      <c r="O36" s="4"/>
      <c r="P36" s="54"/>
      <c r="Q36" s="35"/>
      <c r="R36" s="25"/>
      <c r="S36" s="25"/>
      <c r="T36" s="25"/>
      <c r="U36" s="25"/>
      <c r="V36" s="25"/>
      <c r="W36" s="25"/>
      <c r="X36" s="25"/>
      <c r="Y36" s="25"/>
      <c r="Z36" s="4"/>
    </row>
    <row r="37" spans="1:109" ht="30" customHeight="1" x14ac:dyDescent="0.2">
      <c r="B37" s="252">
        <v>19</v>
      </c>
      <c r="C37" s="253" t="s">
        <v>229</v>
      </c>
      <c r="D37" s="332" t="s">
        <v>384</v>
      </c>
      <c r="E37" s="78" t="s">
        <v>385</v>
      </c>
      <c r="F37" s="53">
        <v>15</v>
      </c>
      <c r="G37" s="235">
        <v>228.733</v>
      </c>
      <c r="H37" s="233">
        <f>ROUND(F37*G37,2)</f>
        <v>3431</v>
      </c>
      <c r="I37" s="234">
        <v>0</v>
      </c>
      <c r="J37" s="234">
        <f>IF(G37&lt;=248.93,0,(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))</f>
        <v>0</v>
      </c>
      <c r="K37" s="236">
        <f>J37</f>
        <v>0</v>
      </c>
      <c r="L37" s="235">
        <f>H37+I37-K37</f>
        <v>3431</v>
      </c>
      <c r="M37" s="238"/>
      <c r="N37" s="187">
        <f t="shared" si="6"/>
        <v>1715.5</v>
      </c>
      <c r="O37" s="4"/>
      <c r="P37" s="54"/>
      <c r="Q37" s="35"/>
      <c r="R37" s="25"/>
      <c r="S37" s="25"/>
      <c r="T37" s="25"/>
      <c r="U37" s="25"/>
      <c r="V37" s="25"/>
      <c r="W37" s="25"/>
      <c r="X37" s="25"/>
      <c r="Y37" s="25"/>
      <c r="Z37" s="4"/>
    </row>
    <row r="38" spans="1:109" s="63" customFormat="1" ht="30" customHeight="1" x14ac:dyDescent="0.2">
      <c r="A38" s="5"/>
      <c r="B38" s="252"/>
      <c r="C38" s="253"/>
      <c r="D38" s="59"/>
      <c r="E38" s="254" t="s">
        <v>33</v>
      </c>
      <c r="F38" s="273"/>
      <c r="G38" s="240"/>
      <c r="H38" s="79">
        <f>SUM(H34:H37)</f>
        <v>19548.559999999998</v>
      </c>
      <c r="I38" s="239">
        <f>SUM(I34:I37)</f>
        <v>0</v>
      </c>
      <c r="J38" s="79">
        <f>SUM(J34:J37)</f>
        <v>1348.3899999999999</v>
      </c>
      <c r="K38" s="79">
        <f>SUM(K34:K37)</f>
        <v>1348.3899999999999</v>
      </c>
      <c r="L38" s="79">
        <f>SUM(L34:L37)</f>
        <v>18200.169999999998</v>
      </c>
      <c r="M38" s="23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</row>
    <row r="39" spans="1:109" ht="30" customHeight="1" x14ac:dyDescent="0.2">
      <c r="B39" s="365" t="s">
        <v>386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7"/>
      <c r="N39" s="4"/>
      <c r="O39" s="4"/>
      <c r="P39" s="54"/>
      <c r="Q39" s="35"/>
      <c r="R39" s="25"/>
      <c r="S39" s="25"/>
      <c r="T39" s="25"/>
      <c r="U39" s="25"/>
      <c r="V39" s="25"/>
      <c r="W39" s="25"/>
      <c r="X39" s="25"/>
      <c r="Y39" s="25"/>
      <c r="Z39" s="4"/>
    </row>
    <row r="40" spans="1:109" s="64" customFormat="1" ht="30" customHeight="1" x14ac:dyDescent="0.2">
      <c r="A40" s="28"/>
      <c r="B40" s="272">
        <v>20</v>
      </c>
      <c r="C40" s="334" t="s">
        <v>229</v>
      </c>
      <c r="D40" s="334" t="s">
        <v>387</v>
      </c>
      <c r="E40" s="334" t="s">
        <v>388</v>
      </c>
      <c r="F40" s="219">
        <v>15</v>
      </c>
      <c r="G40" s="235">
        <v>315.13299999999998</v>
      </c>
      <c r="H40" s="233">
        <f>ROUND(F40*G40,2)</f>
        <v>4727</v>
      </c>
      <c r="I40" s="234">
        <v>0</v>
      </c>
      <c r="J40" s="234">
        <f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357.83</v>
      </c>
      <c r="K40" s="235">
        <f>J40</f>
        <v>357.83</v>
      </c>
      <c r="L40" s="235">
        <f>H40+I40-K40</f>
        <v>4369.17</v>
      </c>
      <c r="M40" s="334"/>
      <c r="N40" s="340">
        <f>L40/2</f>
        <v>2184.585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</row>
    <row r="41" spans="1:109" ht="30" customHeight="1" x14ac:dyDescent="0.2">
      <c r="B41" s="272"/>
      <c r="C41" s="334"/>
      <c r="D41" s="334"/>
      <c r="E41" s="274" t="s">
        <v>33</v>
      </c>
      <c r="F41" s="334"/>
      <c r="G41" s="334"/>
      <c r="H41" s="79">
        <f>SUM(H40:H40)</f>
        <v>4727</v>
      </c>
      <c r="I41" s="239">
        <f>SUM(I40:I40)</f>
        <v>0</v>
      </c>
      <c r="J41" s="79">
        <f>SUM(J40:J40)</f>
        <v>357.83</v>
      </c>
      <c r="K41" s="79">
        <f>SUM(K40:K40)</f>
        <v>357.83</v>
      </c>
      <c r="L41" s="79">
        <f>SUM(L40:L40)</f>
        <v>4369.17</v>
      </c>
      <c r="M41" s="334"/>
      <c r="N41" s="4"/>
      <c r="O41" s="4"/>
      <c r="P41" s="54"/>
      <c r="Q41" s="35"/>
      <c r="R41" s="25"/>
      <c r="S41" s="25"/>
      <c r="T41" s="25"/>
      <c r="U41" s="25"/>
      <c r="V41" s="25"/>
      <c r="W41" s="25"/>
      <c r="X41" s="25"/>
      <c r="Y41" s="25"/>
      <c r="Z41" s="4"/>
    </row>
    <row r="42" spans="1:109" ht="30" customHeight="1" x14ac:dyDescent="0.2">
      <c r="B42" s="365" t="s">
        <v>389</v>
      </c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7"/>
      <c r="N42" s="4"/>
      <c r="O42" s="4"/>
      <c r="P42" s="54"/>
      <c r="Q42" s="35"/>
      <c r="R42" s="25"/>
      <c r="S42" s="25"/>
      <c r="T42" s="25"/>
      <c r="U42" s="25"/>
      <c r="V42" s="25"/>
      <c r="W42" s="25"/>
      <c r="X42" s="25"/>
      <c r="Y42" s="25"/>
      <c r="Z42" s="4"/>
    </row>
    <row r="43" spans="1:109" ht="30" customHeight="1" x14ac:dyDescent="0.2">
      <c r="B43" s="252">
        <v>21</v>
      </c>
      <c r="C43" s="253" t="s">
        <v>229</v>
      </c>
      <c r="D43" s="332" t="s">
        <v>390</v>
      </c>
      <c r="E43" s="78" t="s">
        <v>391</v>
      </c>
      <c r="F43" s="53">
        <v>15</v>
      </c>
      <c r="G43" s="235">
        <v>315.13299999999998</v>
      </c>
      <c r="H43" s="233">
        <f>ROUND(F43*G43,2)</f>
        <v>4727</v>
      </c>
      <c r="I43" s="234">
        <v>0</v>
      </c>
      <c r="J43" s="234">
        <f>IF(G43&lt;=248.93,0,(IFERROR(IF(ROUND((((H43/F43*30.4)-VLOOKUP((H43/F43*30.4),TARIFA,1))*VLOOKUP((H43/F43*30.4),TARIFA,3)+VLOOKUP((H43/F43*30.4),TARIFA,2)-VLOOKUP((H43/F43*30.4),SUBSIDIO,2))/30.4*F43,2)&gt;0,ROUND((((H43/F43*30.4)-VLOOKUP((H43/F43*30.4),TARIFA,1))*VLOOKUP((H43/F43*30.4),TARIFA,3)+VLOOKUP((H43/F43*30.4),TARIFA,2)-VLOOKUP((H43/F43*30.4),SUBSIDIO,2))/30.4*F43,2),0),0)))</f>
        <v>357.83</v>
      </c>
      <c r="K43" s="236">
        <f>J43</f>
        <v>357.83</v>
      </c>
      <c r="L43" s="235">
        <f>H43+I43-K43</f>
        <v>4369.17</v>
      </c>
      <c r="M43" s="238"/>
      <c r="N43" s="151">
        <f>L43/2</f>
        <v>2184.585</v>
      </c>
      <c r="O43" s="4"/>
      <c r="P43" s="54"/>
      <c r="Q43" s="35"/>
      <c r="R43" s="25"/>
      <c r="S43" s="25"/>
      <c r="T43" s="25"/>
      <c r="U43" s="25"/>
      <c r="V43" s="25"/>
      <c r="W43" s="25"/>
      <c r="X43" s="25"/>
      <c r="Y43" s="25"/>
      <c r="Z43" s="4"/>
    </row>
    <row r="44" spans="1:109" ht="30" customHeight="1" x14ac:dyDescent="0.2">
      <c r="B44" s="252"/>
      <c r="C44" s="253"/>
      <c r="D44" s="59"/>
      <c r="E44" s="254" t="s">
        <v>33</v>
      </c>
      <c r="F44" s="273"/>
      <c r="G44" s="240"/>
      <c r="H44" s="79">
        <f>SUM(H43:H43)</f>
        <v>4727</v>
      </c>
      <c r="I44" s="239">
        <f>SUM(I43:I43)</f>
        <v>0</v>
      </c>
      <c r="J44" s="79">
        <f>SUM(J43:J43)</f>
        <v>357.83</v>
      </c>
      <c r="K44" s="79">
        <f>SUM(K43:K43)</f>
        <v>357.83</v>
      </c>
      <c r="L44" s="79">
        <f>SUM(L43:L43)</f>
        <v>4369.17</v>
      </c>
      <c r="M44" s="237"/>
      <c r="N44" s="4"/>
      <c r="O44" s="4"/>
      <c r="P44" s="54"/>
      <c r="Q44" s="35"/>
      <c r="R44" s="25"/>
      <c r="S44" s="25"/>
      <c r="T44" s="25"/>
      <c r="U44" s="25"/>
      <c r="V44" s="25"/>
      <c r="W44" s="25"/>
      <c r="X44" s="25"/>
      <c r="Y44" s="25"/>
      <c r="Z44" s="4"/>
    </row>
    <row r="45" spans="1:109" ht="30" customHeight="1" x14ac:dyDescent="0.2">
      <c r="B45" s="365" t="s">
        <v>43</v>
      </c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7"/>
      <c r="N45" s="4"/>
      <c r="O45" s="4"/>
      <c r="P45" s="54"/>
      <c r="Q45" s="35"/>
      <c r="R45" s="25"/>
      <c r="S45" s="25"/>
      <c r="T45" s="25"/>
      <c r="U45" s="25"/>
      <c r="V45" s="25"/>
      <c r="W45" s="25"/>
      <c r="X45" s="25"/>
      <c r="Y45" s="25"/>
      <c r="Z45" s="4"/>
    </row>
    <row r="46" spans="1:109" ht="30" customHeight="1" x14ac:dyDescent="0.2">
      <c r="B46" s="252">
        <v>22</v>
      </c>
      <c r="C46" s="253" t="s">
        <v>229</v>
      </c>
      <c r="D46" s="332" t="s">
        <v>392</v>
      </c>
      <c r="E46" s="78" t="s">
        <v>35</v>
      </c>
      <c r="F46" s="53">
        <v>15</v>
      </c>
      <c r="G46" s="235">
        <v>315.13299999999998</v>
      </c>
      <c r="H46" s="233">
        <f>ROUND(F46*G46,2)</f>
        <v>4727</v>
      </c>
      <c r="I46" s="326">
        <v>0</v>
      </c>
      <c r="J46" s="234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357.83</v>
      </c>
      <c r="K46" s="235">
        <f>J46</f>
        <v>357.83</v>
      </c>
      <c r="L46" s="235">
        <f>H46+I46-K46</f>
        <v>4369.17</v>
      </c>
      <c r="M46" s="238"/>
      <c r="N46" s="151">
        <f>L46/2</f>
        <v>2184.585</v>
      </c>
      <c r="O46" s="4"/>
      <c r="P46" s="54"/>
      <c r="Q46" s="35"/>
      <c r="R46" s="25"/>
      <c r="S46" s="25"/>
      <c r="T46" s="25"/>
      <c r="U46" s="25"/>
      <c r="V46" s="25"/>
      <c r="W46" s="25"/>
      <c r="X46" s="25"/>
      <c r="Y46" s="25"/>
      <c r="Z46" s="4"/>
    </row>
    <row r="47" spans="1:109" ht="30" customHeight="1" x14ac:dyDescent="0.2">
      <c r="B47" s="252">
        <v>23</v>
      </c>
      <c r="C47" s="253" t="s">
        <v>346</v>
      </c>
      <c r="D47" s="332" t="s">
        <v>393</v>
      </c>
      <c r="E47" s="78" t="s">
        <v>42</v>
      </c>
      <c r="F47" s="53">
        <v>15</v>
      </c>
      <c r="G47" s="235">
        <v>231.66650000000001</v>
      </c>
      <c r="H47" s="233">
        <f>ROUND(F47*G47,2)</f>
        <v>3475</v>
      </c>
      <c r="I47" s="241">
        <v>0</v>
      </c>
      <c r="J47" s="236">
        <f>IF(G47&lt;=248.93,0,(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))</f>
        <v>0</v>
      </c>
      <c r="K47" s="236">
        <f>J47</f>
        <v>0</v>
      </c>
      <c r="L47" s="235">
        <f>H47+I47-K47</f>
        <v>3475</v>
      </c>
      <c r="M47" s="238"/>
      <c r="N47" s="151">
        <f>L47/2</f>
        <v>1737.5</v>
      </c>
      <c r="O47" s="4"/>
      <c r="P47" s="54"/>
      <c r="Q47" s="35"/>
      <c r="R47" s="25"/>
      <c r="S47" s="25"/>
      <c r="T47" s="25"/>
      <c r="U47" s="25"/>
      <c r="V47" s="25"/>
      <c r="W47" s="25"/>
      <c r="X47" s="25"/>
      <c r="Y47" s="25"/>
      <c r="Z47" s="4"/>
    </row>
    <row r="48" spans="1:109" s="5" customFormat="1" ht="30" customHeight="1" x14ac:dyDescent="0.2">
      <c r="B48" s="252"/>
      <c r="C48" s="253"/>
      <c r="D48" s="59"/>
      <c r="E48" s="254" t="s">
        <v>33</v>
      </c>
      <c r="F48" s="273"/>
      <c r="G48" s="240"/>
      <c r="H48" s="79">
        <f>SUM(H46:H47)</f>
        <v>8202</v>
      </c>
      <c r="I48" s="239">
        <f>SUM(I46:I47)</f>
        <v>0</v>
      </c>
      <c r="J48" s="79">
        <f>SUM(J46:J47)</f>
        <v>357.83</v>
      </c>
      <c r="K48" s="79">
        <f>SUM(K46:K47)</f>
        <v>357.83</v>
      </c>
      <c r="L48" s="79">
        <f>SUM(L46:L47)</f>
        <v>7844.17</v>
      </c>
      <c r="M48" s="237"/>
    </row>
    <row r="49" spans="1:109" s="64" customFormat="1" ht="30" customHeight="1" x14ac:dyDescent="0.2">
      <c r="A49" s="28"/>
      <c r="B49" s="365" t="s">
        <v>44</v>
      </c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7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</row>
    <row r="50" spans="1:109" ht="30" customHeight="1" x14ac:dyDescent="0.2">
      <c r="B50" s="252">
        <v>24</v>
      </c>
      <c r="C50" s="253" t="s">
        <v>229</v>
      </c>
      <c r="D50" s="332" t="s">
        <v>394</v>
      </c>
      <c r="E50" s="78" t="s">
        <v>35</v>
      </c>
      <c r="F50" s="53">
        <v>15</v>
      </c>
      <c r="G50" s="235">
        <v>315.13299999999998</v>
      </c>
      <c r="H50" s="233">
        <f>ROUND(F50*G50,2)</f>
        <v>4727</v>
      </c>
      <c r="I50" s="234">
        <v>0</v>
      </c>
      <c r="J50" s="234">
        <f>IF(G50&lt;=248.93,0,(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))</f>
        <v>357.83</v>
      </c>
      <c r="K50" s="235">
        <f>J50</f>
        <v>357.83</v>
      </c>
      <c r="L50" s="235">
        <f>H50+I50-K50</f>
        <v>4369.17</v>
      </c>
      <c r="M50" s="238"/>
      <c r="N50" s="151">
        <f>L50/2</f>
        <v>2184.585</v>
      </c>
      <c r="O50" s="4"/>
      <c r="P50" s="54"/>
      <c r="Q50" s="35"/>
      <c r="R50" s="25"/>
      <c r="S50" s="25"/>
      <c r="T50" s="25"/>
      <c r="U50" s="25"/>
      <c r="V50" s="25"/>
      <c r="W50" s="25"/>
      <c r="X50" s="25"/>
      <c r="Y50" s="25"/>
      <c r="Z50" s="4"/>
    </row>
    <row r="51" spans="1:109" ht="30" customHeight="1" x14ac:dyDescent="0.2">
      <c r="B51" s="252">
        <v>25</v>
      </c>
      <c r="C51" s="253" t="s">
        <v>346</v>
      </c>
      <c r="D51" s="332" t="s">
        <v>395</v>
      </c>
      <c r="E51" s="78" t="s">
        <v>396</v>
      </c>
      <c r="F51" s="53">
        <v>15</v>
      </c>
      <c r="G51" s="235">
        <v>140.602</v>
      </c>
      <c r="H51" s="233">
        <f>ROUND(F51*G51,2)</f>
        <v>2109.0300000000002</v>
      </c>
      <c r="I51" s="234">
        <v>0</v>
      </c>
      <c r="J51" s="234">
        <f>IF(G51&lt;=248.93,0,(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))</f>
        <v>0</v>
      </c>
      <c r="K51" s="236">
        <v>0</v>
      </c>
      <c r="L51" s="235">
        <f>H51+I51-K51</f>
        <v>2109.0300000000002</v>
      </c>
      <c r="M51" s="238"/>
      <c r="N51" s="151"/>
      <c r="O51" s="4"/>
      <c r="P51" s="54"/>
      <c r="Q51" s="35"/>
      <c r="R51" s="25"/>
      <c r="S51" s="25"/>
      <c r="T51" s="25"/>
      <c r="U51" s="25"/>
      <c r="V51" s="25"/>
      <c r="W51" s="25"/>
      <c r="X51" s="25"/>
      <c r="Y51" s="25"/>
      <c r="Z51" s="4"/>
    </row>
    <row r="52" spans="1:109" s="64" customFormat="1" ht="30" customHeight="1" x14ac:dyDescent="0.2">
      <c r="A52" s="28"/>
      <c r="B52" s="252"/>
      <c r="C52" s="253"/>
      <c r="D52" s="59"/>
      <c r="E52" s="254" t="s">
        <v>33</v>
      </c>
      <c r="F52" s="273"/>
      <c r="G52" s="240"/>
      <c r="H52" s="79">
        <f>SUM(H50:H51)</f>
        <v>6836.0300000000007</v>
      </c>
      <c r="I52" s="239">
        <f>SUM(I50:I51)</f>
        <v>0</v>
      </c>
      <c r="J52" s="79">
        <f>SUM(J50:J51)</f>
        <v>357.83</v>
      </c>
      <c r="K52" s="79">
        <f>SUM(K50:K51)</f>
        <v>357.83</v>
      </c>
      <c r="L52" s="79">
        <f>SUM(L50:L51)</f>
        <v>6478.2000000000007</v>
      </c>
      <c r="M52" s="23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</row>
    <row r="53" spans="1:109" ht="30" customHeight="1" x14ac:dyDescent="0.2">
      <c r="B53" s="365" t="s">
        <v>397</v>
      </c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7"/>
      <c r="N53" s="4"/>
      <c r="O53" s="4"/>
      <c r="P53" s="54"/>
      <c r="Q53" s="35"/>
      <c r="R53" s="25"/>
      <c r="S53" s="25"/>
      <c r="T53" s="25"/>
      <c r="U53" s="25"/>
      <c r="V53" s="25"/>
      <c r="W53" s="25"/>
      <c r="X53" s="25"/>
      <c r="Y53" s="25"/>
      <c r="Z53" s="4"/>
    </row>
    <row r="54" spans="1:109" ht="30" customHeight="1" x14ac:dyDescent="0.2">
      <c r="B54" s="252">
        <v>26</v>
      </c>
      <c r="C54" s="253" t="s">
        <v>229</v>
      </c>
      <c r="D54" s="332" t="s">
        <v>398</v>
      </c>
      <c r="E54" s="78" t="s">
        <v>35</v>
      </c>
      <c r="F54" s="53">
        <v>15</v>
      </c>
      <c r="G54" s="235">
        <v>315.13299999999998</v>
      </c>
      <c r="H54" s="233">
        <f>ROUND(F54*G54,2)</f>
        <v>4727</v>
      </c>
      <c r="I54" s="234">
        <v>0</v>
      </c>
      <c r="J54" s="234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357.83</v>
      </c>
      <c r="K54" s="235">
        <f>J54</f>
        <v>357.83</v>
      </c>
      <c r="L54" s="235">
        <f>H54+I54-K54</f>
        <v>4369.17</v>
      </c>
      <c r="M54" s="238"/>
      <c r="N54" s="151">
        <f>L54/2</f>
        <v>2184.585</v>
      </c>
      <c r="O54" s="4"/>
      <c r="P54" s="54"/>
      <c r="Q54" s="35"/>
      <c r="R54" s="25"/>
      <c r="S54" s="25"/>
      <c r="T54" s="25"/>
      <c r="U54" s="25"/>
      <c r="V54" s="25"/>
      <c r="W54" s="25"/>
      <c r="X54" s="25"/>
      <c r="Y54" s="25"/>
      <c r="Z54" s="4"/>
    </row>
    <row r="55" spans="1:109" s="5" customFormat="1" ht="30" customHeight="1" x14ac:dyDescent="0.2">
      <c r="B55" s="252"/>
      <c r="C55" s="253"/>
      <c r="D55" s="59"/>
      <c r="E55" s="254" t="s">
        <v>33</v>
      </c>
      <c r="F55" s="273"/>
      <c r="G55" s="240"/>
      <c r="H55" s="79">
        <f>SUM(H54:H54)</f>
        <v>4727</v>
      </c>
      <c r="I55" s="239">
        <f>SUM(I54:I54)</f>
        <v>0</v>
      </c>
      <c r="J55" s="79">
        <f>SUM(J54:J54)</f>
        <v>357.83</v>
      </c>
      <c r="K55" s="79">
        <f>SUM(K54:K54)</f>
        <v>357.83</v>
      </c>
      <c r="L55" s="79">
        <f>SUM(L54:L54)</f>
        <v>4369.17</v>
      </c>
      <c r="M55" s="237"/>
    </row>
    <row r="56" spans="1:109" s="5" customFormat="1" ht="30" customHeight="1" x14ac:dyDescent="0.2">
      <c r="B56" s="365" t="s">
        <v>399</v>
      </c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7"/>
    </row>
    <row r="57" spans="1:109" s="5" customFormat="1" ht="30" customHeight="1" x14ac:dyDescent="0.2">
      <c r="B57" s="252">
        <v>27</v>
      </c>
      <c r="C57" s="253" t="s">
        <v>229</v>
      </c>
      <c r="D57" s="332" t="s">
        <v>400</v>
      </c>
      <c r="E57" s="78" t="s">
        <v>401</v>
      </c>
      <c r="F57" s="53">
        <v>15</v>
      </c>
      <c r="G57" s="235">
        <v>168.34800000000001</v>
      </c>
      <c r="H57" s="233">
        <f>ROUND(F57*G57,2)</f>
        <v>2525.2199999999998</v>
      </c>
      <c r="I57" s="241">
        <v>0</v>
      </c>
      <c r="J57" s="236">
        <f>IF(G57&lt;=248.93,0,(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))</f>
        <v>0</v>
      </c>
      <c r="K57" s="236">
        <f>J57</f>
        <v>0</v>
      </c>
      <c r="L57" s="235">
        <f>H57+I57-K57</f>
        <v>2525.2199999999998</v>
      </c>
      <c r="M57" s="238"/>
    </row>
    <row r="58" spans="1:109" s="5" customFormat="1" ht="30" customHeight="1" x14ac:dyDescent="0.2">
      <c r="B58" s="252"/>
      <c r="C58" s="253"/>
      <c r="D58" s="59"/>
      <c r="E58" s="254" t="s">
        <v>33</v>
      </c>
      <c r="F58" s="53"/>
      <c r="G58" s="240"/>
      <c r="H58" s="79">
        <f>SUM(H57:H57)</f>
        <v>2525.2199999999998</v>
      </c>
      <c r="I58" s="239">
        <f>SUM(I57:I57)</f>
        <v>0</v>
      </c>
      <c r="J58" s="239">
        <f>SUM(J57:J57)</f>
        <v>0</v>
      </c>
      <c r="K58" s="239">
        <f>SUM(K57:K57)</f>
        <v>0</v>
      </c>
      <c r="L58" s="79">
        <f>SUM(L57:L57)</f>
        <v>2525.2199999999998</v>
      </c>
      <c r="M58" s="237"/>
    </row>
    <row r="59" spans="1:109" s="63" customFormat="1" ht="30" customHeight="1" x14ac:dyDescent="0.2">
      <c r="A59" s="5"/>
      <c r="B59" s="365" t="s">
        <v>45</v>
      </c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7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</row>
    <row r="60" spans="1:109" s="5" customFormat="1" ht="30" customHeight="1" x14ac:dyDescent="0.2">
      <c r="B60" s="252">
        <v>28</v>
      </c>
      <c r="C60" s="253" t="s">
        <v>229</v>
      </c>
      <c r="D60" s="335" t="s">
        <v>402</v>
      </c>
      <c r="E60" s="78" t="s">
        <v>403</v>
      </c>
      <c r="F60" s="53">
        <v>15</v>
      </c>
      <c r="G60" s="235">
        <v>523.65</v>
      </c>
      <c r="H60" s="233">
        <f t="shared" ref="H60:H65" si="7">ROUND(F60*G60,2)</f>
        <v>7854.75</v>
      </c>
      <c r="I60" s="234">
        <v>0</v>
      </c>
      <c r="J60" s="234">
        <f t="shared" ref="J60:J65" si="8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854.75</v>
      </c>
      <c r="K60" s="235">
        <f t="shared" ref="K60:K65" si="9">J60</f>
        <v>854.75</v>
      </c>
      <c r="L60" s="235">
        <f t="shared" ref="L60:L65" si="10">H60+I60-K60</f>
        <v>7000</v>
      </c>
      <c r="M60" s="238"/>
      <c r="N60" s="187">
        <f>L60/2</f>
        <v>3500</v>
      </c>
    </row>
    <row r="61" spans="1:109" ht="30" customHeight="1" x14ac:dyDescent="0.2">
      <c r="B61" s="252">
        <v>29</v>
      </c>
      <c r="C61" s="253" t="s">
        <v>229</v>
      </c>
      <c r="D61" s="332" t="s">
        <v>404</v>
      </c>
      <c r="E61" s="78" t="s">
        <v>42</v>
      </c>
      <c r="F61" s="53">
        <v>15</v>
      </c>
      <c r="G61" s="235">
        <v>262</v>
      </c>
      <c r="H61" s="233">
        <f t="shared" si="7"/>
        <v>3930</v>
      </c>
      <c r="I61" s="234">
        <v>0</v>
      </c>
      <c r="J61" s="234">
        <f t="shared" si="8"/>
        <v>78.69</v>
      </c>
      <c r="K61" s="235">
        <f t="shared" si="9"/>
        <v>78.69</v>
      </c>
      <c r="L61" s="235">
        <f t="shared" si="10"/>
        <v>3851.31</v>
      </c>
      <c r="M61" s="238"/>
      <c r="N61" s="187">
        <f t="shared" ref="N61:N65" si="11">L61/2</f>
        <v>1925.655</v>
      </c>
      <c r="O61" s="4"/>
      <c r="P61" s="54"/>
      <c r="Q61" s="35"/>
      <c r="R61" s="25"/>
      <c r="S61" s="25"/>
      <c r="T61" s="25"/>
      <c r="U61" s="25"/>
      <c r="V61" s="25"/>
      <c r="W61" s="25"/>
      <c r="X61" s="25"/>
      <c r="Y61" s="25"/>
      <c r="Z61" s="4"/>
    </row>
    <row r="62" spans="1:109" s="5" customFormat="1" ht="30" customHeight="1" x14ac:dyDescent="0.2">
      <c r="B62" s="252">
        <v>30</v>
      </c>
      <c r="C62" s="253" t="s">
        <v>229</v>
      </c>
      <c r="D62" s="332" t="s">
        <v>405</v>
      </c>
      <c r="E62" s="78" t="s">
        <v>406</v>
      </c>
      <c r="F62" s="53">
        <v>15</v>
      </c>
      <c r="G62" s="235">
        <v>230.53299999999999</v>
      </c>
      <c r="H62" s="233">
        <f t="shared" si="7"/>
        <v>3458</v>
      </c>
      <c r="I62" s="234">
        <v>0</v>
      </c>
      <c r="J62" s="234">
        <f t="shared" si="8"/>
        <v>0</v>
      </c>
      <c r="K62" s="236">
        <f t="shared" si="9"/>
        <v>0</v>
      </c>
      <c r="L62" s="235">
        <f t="shared" si="10"/>
        <v>3458</v>
      </c>
      <c r="M62" s="238"/>
      <c r="N62" s="187">
        <f t="shared" si="11"/>
        <v>1729</v>
      </c>
    </row>
    <row r="63" spans="1:109" ht="30" customHeight="1" x14ac:dyDescent="0.2">
      <c r="B63" s="252">
        <v>31</v>
      </c>
      <c r="C63" s="253" t="s">
        <v>229</v>
      </c>
      <c r="D63" s="332" t="s">
        <v>407</v>
      </c>
      <c r="E63" s="78" t="s">
        <v>408</v>
      </c>
      <c r="F63" s="53">
        <v>15</v>
      </c>
      <c r="G63" s="235">
        <v>264.33300000000003</v>
      </c>
      <c r="H63" s="233">
        <f t="shared" si="7"/>
        <v>3965</v>
      </c>
      <c r="I63" s="234">
        <v>0</v>
      </c>
      <c r="J63" s="234">
        <f t="shared" si="8"/>
        <v>82.49</v>
      </c>
      <c r="K63" s="235">
        <f t="shared" si="9"/>
        <v>82.49</v>
      </c>
      <c r="L63" s="235">
        <f t="shared" si="10"/>
        <v>3882.51</v>
      </c>
      <c r="M63" s="238"/>
      <c r="N63" s="187">
        <f t="shared" si="11"/>
        <v>1941.2550000000001</v>
      </c>
      <c r="O63" s="4"/>
      <c r="P63" s="54"/>
      <c r="Q63" s="35"/>
      <c r="R63" s="25"/>
      <c r="S63" s="25"/>
      <c r="T63" s="25"/>
      <c r="U63" s="25"/>
      <c r="V63" s="25"/>
      <c r="W63" s="25"/>
      <c r="X63" s="25"/>
      <c r="Y63" s="25"/>
      <c r="Z63" s="4"/>
    </row>
    <row r="64" spans="1:109" ht="30" customHeight="1" x14ac:dyDescent="0.2">
      <c r="B64" s="252">
        <v>32</v>
      </c>
      <c r="C64" s="253" t="s">
        <v>229</v>
      </c>
      <c r="D64" s="332" t="s">
        <v>409</v>
      </c>
      <c r="E64" s="78" t="s">
        <v>408</v>
      </c>
      <c r="F64" s="53">
        <v>15</v>
      </c>
      <c r="G64" s="235">
        <v>228.66650000000001</v>
      </c>
      <c r="H64" s="233">
        <f t="shared" si="7"/>
        <v>3430</v>
      </c>
      <c r="I64" s="234">
        <v>0</v>
      </c>
      <c r="J64" s="234">
        <f t="shared" si="8"/>
        <v>0</v>
      </c>
      <c r="K64" s="236">
        <f t="shared" si="9"/>
        <v>0</v>
      </c>
      <c r="L64" s="235">
        <f t="shared" si="10"/>
        <v>3430</v>
      </c>
      <c r="M64" s="238"/>
      <c r="N64" s="187">
        <f t="shared" si="11"/>
        <v>1715</v>
      </c>
      <c r="O64" s="4"/>
      <c r="P64" s="54"/>
      <c r="Q64" s="35"/>
      <c r="R64" s="25"/>
      <c r="S64" s="25"/>
      <c r="T64" s="25"/>
      <c r="U64" s="25"/>
      <c r="V64" s="25"/>
      <c r="W64" s="25"/>
      <c r="X64" s="25"/>
      <c r="Y64" s="25"/>
      <c r="Z64" s="4"/>
    </row>
    <row r="65" spans="1:109" ht="30" customHeight="1" x14ac:dyDescent="0.2">
      <c r="B65" s="252">
        <v>33</v>
      </c>
      <c r="C65" s="253" t="s">
        <v>229</v>
      </c>
      <c r="D65" s="332" t="s">
        <v>410</v>
      </c>
      <c r="E65" s="78" t="s">
        <v>411</v>
      </c>
      <c r="F65" s="53">
        <v>15</v>
      </c>
      <c r="G65" s="235">
        <v>384.8</v>
      </c>
      <c r="H65" s="233">
        <f t="shared" si="7"/>
        <v>5772</v>
      </c>
      <c r="I65" s="234">
        <v>0</v>
      </c>
      <c r="J65" s="234">
        <f t="shared" si="8"/>
        <v>485.93</v>
      </c>
      <c r="K65" s="235">
        <f t="shared" si="9"/>
        <v>485.93</v>
      </c>
      <c r="L65" s="235">
        <f t="shared" si="10"/>
        <v>5286.07</v>
      </c>
      <c r="M65" s="238"/>
      <c r="N65" s="187">
        <f t="shared" si="11"/>
        <v>2643.0349999999999</v>
      </c>
      <c r="O65" s="4"/>
      <c r="P65" s="54"/>
      <c r="Q65" s="35"/>
      <c r="R65" s="25"/>
      <c r="S65" s="25"/>
      <c r="T65" s="25"/>
      <c r="U65" s="25"/>
      <c r="V65" s="25"/>
      <c r="W65" s="25"/>
      <c r="X65" s="25"/>
      <c r="Y65" s="25"/>
      <c r="Z65" s="4"/>
    </row>
    <row r="66" spans="1:109" ht="30" customHeight="1" x14ac:dyDescent="0.2">
      <c r="B66" s="252"/>
      <c r="C66" s="253"/>
      <c r="D66" s="59"/>
      <c r="E66" s="254" t="s">
        <v>33</v>
      </c>
      <c r="F66" s="273"/>
      <c r="G66" s="240"/>
      <c r="H66" s="79">
        <f>SUM(H60:H65)</f>
        <v>28409.75</v>
      </c>
      <c r="I66" s="239">
        <f>SUM(I60:I65)</f>
        <v>0</v>
      </c>
      <c r="J66" s="79">
        <f>SUM(J60:J65)</f>
        <v>1501.8600000000001</v>
      </c>
      <c r="K66" s="79">
        <f>SUM(K60:K65)</f>
        <v>1501.8600000000001</v>
      </c>
      <c r="L66" s="79">
        <f>SUM(L60:L65)</f>
        <v>26907.89</v>
      </c>
      <c r="M66" s="237"/>
      <c r="N66" s="4"/>
      <c r="O66" s="4"/>
      <c r="P66" s="54"/>
      <c r="Q66" s="35"/>
      <c r="R66" s="25"/>
      <c r="S66" s="25"/>
      <c r="T66" s="25"/>
      <c r="U66" s="25"/>
      <c r="V66" s="25"/>
      <c r="W66" s="25"/>
      <c r="X66" s="25"/>
      <c r="Y66" s="25"/>
      <c r="Z66" s="4"/>
    </row>
    <row r="67" spans="1:109" ht="30" customHeight="1" x14ac:dyDescent="0.2">
      <c r="B67" s="365" t="s">
        <v>412</v>
      </c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7"/>
      <c r="N67" s="4"/>
      <c r="O67" s="4"/>
      <c r="P67" s="54"/>
      <c r="Q67" s="35"/>
      <c r="R67" s="25"/>
      <c r="S67" s="25"/>
      <c r="T67" s="25"/>
      <c r="U67" s="25"/>
      <c r="V67" s="25"/>
      <c r="W67" s="25"/>
      <c r="X67" s="25"/>
      <c r="Y67" s="25"/>
      <c r="Z67" s="4"/>
    </row>
    <row r="68" spans="1:109" ht="30" customHeight="1" x14ac:dyDescent="0.2">
      <c r="B68" s="252">
        <v>34</v>
      </c>
      <c r="C68" s="253" t="s">
        <v>229</v>
      </c>
      <c r="D68" s="332" t="s">
        <v>413</v>
      </c>
      <c r="E68" s="78" t="s">
        <v>35</v>
      </c>
      <c r="F68" s="53">
        <v>15</v>
      </c>
      <c r="G68" s="235">
        <v>315.13299999999998</v>
      </c>
      <c r="H68" s="233">
        <f>ROUND(F68*G68,2)</f>
        <v>4727</v>
      </c>
      <c r="I68" s="234">
        <v>0</v>
      </c>
      <c r="J68" s="234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357.83</v>
      </c>
      <c r="K68" s="235">
        <f>J68</f>
        <v>357.83</v>
      </c>
      <c r="L68" s="235">
        <f>H68+I68-K68</f>
        <v>4369.17</v>
      </c>
      <c r="M68" s="238"/>
      <c r="N68" s="151">
        <f>L68/2</f>
        <v>2184.585</v>
      </c>
      <c r="O68" s="4"/>
      <c r="P68" s="54"/>
      <c r="Q68" s="35"/>
      <c r="R68" s="25"/>
      <c r="S68" s="25"/>
      <c r="T68" s="25"/>
      <c r="U68" s="25"/>
      <c r="V68" s="25"/>
      <c r="W68" s="25"/>
      <c r="X68" s="25"/>
      <c r="Y68" s="25"/>
      <c r="Z68" s="4"/>
    </row>
    <row r="69" spans="1:109" s="5" customFormat="1" ht="30" customHeight="1" x14ac:dyDescent="0.2">
      <c r="B69" s="252"/>
      <c r="C69" s="253"/>
      <c r="D69" s="59"/>
      <c r="E69" s="254" t="s">
        <v>33</v>
      </c>
      <c r="F69" s="273"/>
      <c r="G69" s="240"/>
      <c r="H69" s="79">
        <f>+H68</f>
        <v>4727</v>
      </c>
      <c r="I69" s="239">
        <f>+I68</f>
        <v>0</v>
      </c>
      <c r="J69" s="79">
        <f>+J68</f>
        <v>357.83</v>
      </c>
      <c r="K69" s="79">
        <f>+K68</f>
        <v>357.83</v>
      </c>
      <c r="L69" s="79">
        <f>+L68</f>
        <v>4369.17</v>
      </c>
      <c r="M69" s="237"/>
    </row>
    <row r="70" spans="1:109" s="5" customFormat="1" ht="30" customHeight="1" x14ac:dyDescent="0.2">
      <c r="B70" s="365" t="s">
        <v>47</v>
      </c>
      <c r="C70" s="366"/>
      <c r="D70" s="366"/>
      <c r="E70" s="366"/>
      <c r="F70" s="366"/>
      <c r="G70" s="366"/>
      <c r="H70" s="366"/>
      <c r="I70" s="366"/>
      <c r="J70" s="366"/>
      <c r="K70" s="366"/>
      <c r="L70" s="366"/>
      <c r="M70" s="367"/>
    </row>
    <row r="71" spans="1:109" s="5" customFormat="1" ht="30" customHeight="1" x14ac:dyDescent="0.2">
      <c r="B71" s="252">
        <v>35</v>
      </c>
      <c r="C71" s="253" t="s">
        <v>229</v>
      </c>
      <c r="D71" s="332" t="s">
        <v>414</v>
      </c>
      <c r="E71" s="78" t="s">
        <v>415</v>
      </c>
      <c r="F71" s="53">
        <v>15</v>
      </c>
      <c r="G71" s="235">
        <v>315.13</v>
      </c>
      <c r="H71" s="233">
        <f>ROUND(F71*G71,2)</f>
        <v>4726.95</v>
      </c>
      <c r="I71" s="234">
        <v>0</v>
      </c>
      <c r="J71" s="234">
        <f>IF(G71&lt;=248.93,0,(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))</f>
        <v>357.83</v>
      </c>
      <c r="K71" s="235">
        <f>J71</f>
        <v>357.83</v>
      </c>
      <c r="L71" s="235">
        <f>H71+I71-K71</f>
        <v>4369.12</v>
      </c>
      <c r="M71" s="238"/>
      <c r="N71" s="187">
        <f>L71/2</f>
        <v>2184.56</v>
      </c>
    </row>
    <row r="72" spans="1:109" ht="30" customHeight="1" x14ac:dyDescent="0.2">
      <c r="B72" s="252">
        <v>36</v>
      </c>
      <c r="C72" s="253" t="s">
        <v>229</v>
      </c>
      <c r="D72" s="332" t="s">
        <v>416</v>
      </c>
      <c r="E72" s="78" t="s">
        <v>417</v>
      </c>
      <c r="F72" s="53">
        <v>15</v>
      </c>
      <c r="G72" s="235">
        <v>315.13</v>
      </c>
      <c r="H72" s="233">
        <f>ROUND(F72*G72,2)</f>
        <v>4726.95</v>
      </c>
      <c r="I72" s="234">
        <v>0</v>
      </c>
      <c r="J72" s="234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357.83</v>
      </c>
      <c r="K72" s="236">
        <f>J72</f>
        <v>357.83</v>
      </c>
      <c r="L72" s="235">
        <f>H72+I72-K72</f>
        <v>4369.12</v>
      </c>
      <c r="M72" s="238"/>
      <c r="N72" s="187">
        <f t="shared" ref="N72" si="12">L72/2</f>
        <v>2184.56</v>
      </c>
      <c r="O72" s="4"/>
      <c r="P72" s="54"/>
      <c r="Q72" s="35"/>
      <c r="R72" s="25"/>
      <c r="S72" s="25"/>
      <c r="T72" s="25"/>
      <c r="U72" s="25"/>
      <c r="V72" s="25"/>
      <c r="W72" s="25"/>
      <c r="X72" s="25"/>
      <c r="Y72" s="25"/>
      <c r="Z72" s="4"/>
    </row>
    <row r="73" spans="1:109" ht="30" customHeight="1" x14ac:dyDescent="0.2">
      <c r="B73" s="252">
        <v>37</v>
      </c>
      <c r="C73" s="253" t="s">
        <v>346</v>
      </c>
      <c r="D73" s="332" t="s">
        <v>418</v>
      </c>
      <c r="E73" s="78" t="s">
        <v>419</v>
      </c>
      <c r="F73" s="53">
        <v>15</v>
      </c>
      <c r="G73" s="235">
        <v>148.34</v>
      </c>
      <c r="H73" s="233">
        <f>ROUND(F73*G73,2)</f>
        <v>2225.1</v>
      </c>
      <c r="I73" s="234">
        <v>0</v>
      </c>
      <c r="J73" s="234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0</v>
      </c>
      <c r="K73" s="236">
        <f>J73</f>
        <v>0</v>
      </c>
      <c r="L73" s="235">
        <f>H73+I73-K73</f>
        <v>2225.1</v>
      </c>
      <c r="M73" s="238"/>
      <c r="N73" s="187"/>
      <c r="O73" s="4"/>
      <c r="P73" s="54"/>
      <c r="Q73" s="35"/>
      <c r="R73" s="25"/>
      <c r="S73" s="25"/>
      <c r="T73" s="25"/>
      <c r="U73" s="25"/>
      <c r="V73" s="25"/>
      <c r="W73" s="25"/>
      <c r="X73" s="25"/>
      <c r="Y73" s="25"/>
      <c r="Z73" s="4"/>
    </row>
    <row r="74" spans="1:109" ht="30" customHeight="1" x14ac:dyDescent="0.2">
      <c r="B74" s="252"/>
      <c r="C74" s="253"/>
      <c r="D74" s="59"/>
      <c r="E74" s="254" t="s">
        <v>33</v>
      </c>
      <c r="F74" s="273"/>
      <c r="G74" s="240"/>
      <c r="H74" s="79">
        <f>SUM(H71:H73)</f>
        <v>11679</v>
      </c>
      <c r="I74" s="239">
        <f>SUM(I71:I73)</f>
        <v>0</v>
      </c>
      <c r="J74" s="79">
        <f>SUM(J71:J73)</f>
        <v>715.66</v>
      </c>
      <c r="K74" s="79">
        <f>SUM(K71:K73)</f>
        <v>715.66</v>
      </c>
      <c r="L74" s="79">
        <f>SUM(L71:L73)</f>
        <v>10963.34</v>
      </c>
      <c r="M74" s="237"/>
      <c r="N74" s="4"/>
      <c r="O74" s="4"/>
      <c r="P74" s="54"/>
      <c r="Q74" s="35"/>
      <c r="R74" s="25"/>
      <c r="S74" s="25"/>
      <c r="T74" s="25"/>
      <c r="U74" s="25"/>
      <c r="V74" s="25"/>
      <c r="W74" s="25"/>
      <c r="X74" s="25"/>
      <c r="Y74" s="25"/>
      <c r="Z74" s="4"/>
    </row>
    <row r="75" spans="1:109" ht="30" customHeight="1" x14ac:dyDescent="0.2">
      <c r="B75" s="365" t="s">
        <v>48</v>
      </c>
      <c r="C75" s="366"/>
      <c r="D75" s="366"/>
      <c r="E75" s="366"/>
      <c r="F75" s="366"/>
      <c r="G75" s="366"/>
      <c r="H75" s="366"/>
      <c r="I75" s="366"/>
      <c r="J75" s="366"/>
      <c r="K75" s="366"/>
      <c r="L75" s="366"/>
      <c r="M75" s="367"/>
      <c r="N75" s="4"/>
      <c r="O75" s="4"/>
      <c r="P75" s="54"/>
      <c r="Q75" s="35"/>
      <c r="R75" s="25"/>
      <c r="S75" s="25"/>
      <c r="T75" s="25"/>
      <c r="U75" s="25"/>
      <c r="V75" s="25"/>
      <c r="W75" s="25"/>
      <c r="X75" s="25"/>
      <c r="Y75" s="25"/>
      <c r="Z75" s="4"/>
    </row>
    <row r="76" spans="1:109" ht="30" customHeight="1" x14ac:dyDescent="0.2">
      <c r="B76" s="252">
        <v>38</v>
      </c>
      <c r="C76" s="253" t="s">
        <v>229</v>
      </c>
      <c r="D76" s="332" t="s">
        <v>420</v>
      </c>
      <c r="E76" s="78" t="s">
        <v>415</v>
      </c>
      <c r="F76" s="53">
        <v>15</v>
      </c>
      <c r="G76" s="235">
        <v>315.13</v>
      </c>
      <c r="H76" s="233">
        <f>ROUND(F76*G76,2)</f>
        <v>4726.95</v>
      </c>
      <c r="I76" s="234">
        <v>0</v>
      </c>
      <c r="J76" s="234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357.83</v>
      </c>
      <c r="K76" s="235">
        <f>J76</f>
        <v>357.83</v>
      </c>
      <c r="L76" s="235">
        <f>H76+I76-K76</f>
        <v>4369.12</v>
      </c>
      <c r="M76" s="235"/>
      <c r="N76" s="151">
        <f>L76/2</f>
        <v>2184.56</v>
      </c>
      <c r="O76" s="4"/>
      <c r="P76" s="54"/>
      <c r="Q76" s="35"/>
      <c r="R76" s="25"/>
      <c r="S76" s="25"/>
      <c r="T76" s="25"/>
      <c r="U76" s="25"/>
      <c r="V76" s="25"/>
      <c r="W76" s="25"/>
      <c r="X76" s="25"/>
      <c r="Y76" s="25"/>
      <c r="Z76" s="4"/>
    </row>
    <row r="77" spans="1:109" ht="30" customHeight="1" x14ac:dyDescent="0.2">
      <c r="B77" s="252">
        <v>39</v>
      </c>
      <c r="C77" s="253" t="s">
        <v>229</v>
      </c>
      <c r="D77" s="332" t="s">
        <v>421</v>
      </c>
      <c r="E77" s="78" t="s">
        <v>422</v>
      </c>
      <c r="F77" s="53">
        <v>15</v>
      </c>
      <c r="G77" s="235">
        <v>213.35</v>
      </c>
      <c r="H77" s="233">
        <f>ROUND(F77*G77,2)</f>
        <v>3200.25</v>
      </c>
      <c r="I77" s="241">
        <v>0</v>
      </c>
      <c r="J77" s="236">
        <f>IF(G77&lt;=248.93,0,(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))</f>
        <v>0</v>
      </c>
      <c r="K77" s="236">
        <f>J77</f>
        <v>0</v>
      </c>
      <c r="L77" s="235">
        <f>H77+I77-K77</f>
        <v>3200.25</v>
      </c>
      <c r="M77" s="238"/>
      <c r="N77" s="151">
        <f>L77/2</f>
        <v>1600.125</v>
      </c>
      <c r="O77" s="4"/>
      <c r="P77" s="54"/>
      <c r="Q77" s="35"/>
      <c r="R77" s="25"/>
      <c r="S77" s="25"/>
      <c r="T77" s="25"/>
      <c r="U77" s="25"/>
      <c r="V77" s="25"/>
      <c r="W77" s="25"/>
      <c r="X77" s="25"/>
      <c r="Y77" s="25"/>
      <c r="Z77" s="4"/>
    </row>
    <row r="78" spans="1:109" s="5" customFormat="1" ht="30" customHeight="1" x14ac:dyDescent="0.2">
      <c r="B78" s="252"/>
      <c r="C78" s="253"/>
      <c r="D78" s="59"/>
      <c r="E78" s="254" t="s">
        <v>33</v>
      </c>
      <c r="F78" s="273"/>
      <c r="G78" s="240"/>
      <c r="H78" s="79">
        <f>SUM(H76:H77)</f>
        <v>7927.2</v>
      </c>
      <c r="I78" s="239">
        <f>SUM(I76:I77)</f>
        <v>0</v>
      </c>
      <c r="J78" s="79">
        <f>SUM(J76:J77)</f>
        <v>357.83</v>
      </c>
      <c r="K78" s="79">
        <f>SUM(K76:K77)</f>
        <v>357.83</v>
      </c>
      <c r="L78" s="79">
        <f>SUM(L76:L77)</f>
        <v>7569.37</v>
      </c>
      <c r="M78" s="237"/>
    </row>
    <row r="79" spans="1:109" s="64" customFormat="1" ht="30" customHeight="1" x14ac:dyDescent="0.2">
      <c r="A79" s="28"/>
      <c r="B79" s="365" t="s">
        <v>50</v>
      </c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7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</row>
    <row r="80" spans="1:109" ht="30" customHeight="1" x14ac:dyDescent="0.2">
      <c r="B80" s="252">
        <v>40</v>
      </c>
      <c r="C80" s="253" t="s">
        <v>229</v>
      </c>
      <c r="D80" s="332" t="s">
        <v>423</v>
      </c>
      <c r="E80" s="78" t="s">
        <v>415</v>
      </c>
      <c r="F80" s="53">
        <v>15</v>
      </c>
      <c r="G80" s="235">
        <v>278.26650000000001</v>
      </c>
      <c r="H80" s="233">
        <f>ROUND(F80*G80,2)</f>
        <v>4174</v>
      </c>
      <c r="I80" s="241">
        <v>0</v>
      </c>
      <c r="J80" s="235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105.23</v>
      </c>
      <c r="K80" s="235">
        <f>J80</f>
        <v>105.23</v>
      </c>
      <c r="L80" s="235">
        <f>H80+I80-K80</f>
        <v>4068.77</v>
      </c>
      <c r="M80" s="238"/>
      <c r="N80" s="151">
        <f>L80/2</f>
        <v>2034.385</v>
      </c>
      <c r="O80" s="4"/>
      <c r="P80" s="54"/>
      <c r="Q80" s="35"/>
      <c r="R80" s="25"/>
      <c r="S80" s="25"/>
      <c r="T80" s="25"/>
      <c r="U80" s="25"/>
      <c r="V80" s="25"/>
      <c r="W80" s="25"/>
      <c r="X80" s="25"/>
      <c r="Y80" s="25"/>
      <c r="Z80" s="4"/>
    </row>
    <row r="81" spans="1:109" s="33" customFormat="1" ht="30" customHeight="1" x14ac:dyDescent="0.2">
      <c r="A81" s="28"/>
      <c r="B81" s="252"/>
      <c r="C81" s="253"/>
      <c r="D81" s="330"/>
      <c r="E81" s="254" t="s">
        <v>33</v>
      </c>
      <c r="F81" s="273"/>
      <c r="G81" s="240"/>
      <c r="H81" s="79">
        <f>SUM(H80:H80)</f>
        <v>4174</v>
      </c>
      <c r="I81" s="239">
        <f>SUM(I80:I80)</f>
        <v>0</v>
      </c>
      <c r="J81" s="79">
        <f>SUM(J80:J80)</f>
        <v>105.23</v>
      </c>
      <c r="K81" s="79">
        <f>SUM(K80:K80)</f>
        <v>105.23</v>
      </c>
      <c r="L81" s="79">
        <f>SUM(L80:L80)</f>
        <v>4068.77</v>
      </c>
      <c r="M81" s="237"/>
      <c r="N81" s="151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</row>
    <row r="82" spans="1:109" ht="30" customHeight="1" x14ac:dyDescent="0.2">
      <c r="B82" s="365" t="s">
        <v>46</v>
      </c>
      <c r="C82" s="366"/>
      <c r="D82" s="366"/>
      <c r="E82" s="366"/>
      <c r="F82" s="366"/>
      <c r="G82" s="366"/>
      <c r="H82" s="366"/>
      <c r="I82" s="366"/>
      <c r="J82" s="366"/>
      <c r="K82" s="366"/>
      <c r="L82" s="366"/>
      <c r="M82" s="367"/>
      <c r="N82" s="151"/>
      <c r="O82" s="4"/>
      <c r="P82" s="54"/>
      <c r="Q82" s="35"/>
      <c r="R82" s="25"/>
      <c r="S82" s="25"/>
      <c r="T82" s="25"/>
      <c r="U82" s="25"/>
      <c r="V82" s="25"/>
      <c r="W82" s="25"/>
      <c r="X82" s="25"/>
      <c r="Y82" s="25"/>
      <c r="Z82" s="4"/>
    </row>
    <row r="83" spans="1:109" ht="30" customHeight="1" x14ac:dyDescent="0.2">
      <c r="B83" s="252">
        <v>41</v>
      </c>
      <c r="C83" s="253" t="s">
        <v>229</v>
      </c>
      <c r="D83" s="332" t="s">
        <v>424</v>
      </c>
      <c r="E83" s="78" t="s">
        <v>415</v>
      </c>
      <c r="F83" s="53">
        <v>15</v>
      </c>
      <c r="G83" s="235">
        <v>278.26650000000001</v>
      </c>
      <c r="H83" s="233">
        <f>ROUND(F83*G83,2)</f>
        <v>4174</v>
      </c>
      <c r="I83" s="241">
        <v>0</v>
      </c>
      <c r="J83" s="235">
        <f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105.23</v>
      </c>
      <c r="K83" s="235">
        <f>J83</f>
        <v>105.23</v>
      </c>
      <c r="L83" s="235">
        <f>H83+I83-K83</f>
        <v>4068.77</v>
      </c>
      <c r="M83" s="238"/>
      <c r="N83" s="151">
        <f t="shared" ref="N83" si="13">L83/2</f>
        <v>2034.385</v>
      </c>
      <c r="O83" s="4"/>
      <c r="P83" s="54"/>
      <c r="Q83" s="35"/>
      <c r="R83" s="25"/>
      <c r="S83" s="25"/>
      <c r="T83" s="25"/>
      <c r="U83" s="25"/>
      <c r="V83" s="25"/>
      <c r="W83" s="25"/>
      <c r="X83" s="25"/>
      <c r="Y83" s="25"/>
      <c r="Z83" s="4"/>
    </row>
    <row r="84" spans="1:109" s="33" customFormat="1" ht="30" customHeight="1" x14ac:dyDescent="0.2">
      <c r="A84" s="28"/>
      <c r="B84" s="252"/>
      <c r="C84" s="253"/>
      <c r="D84" s="330"/>
      <c r="E84" s="254" t="s">
        <v>33</v>
      </c>
      <c r="F84" s="273"/>
      <c r="G84" s="240"/>
      <c r="H84" s="79">
        <f>SUM(H83:H83)</f>
        <v>4174</v>
      </c>
      <c r="I84" s="239">
        <f>SUM(I83:I83)</f>
        <v>0</v>
      </c>
      <c r="J84" s="79">
        <f>SUM(J83:J83)</f>
        <v>105.23</v>
      </c>
      <c r="K84" s="79">
        <f>SUM(K83:K83)</f>
        <v>105.23</v>
      </c>
      <c r="L84" s="79">
        <f>SUM(L83:L83)</f>
        <v>4068.77</v>
      </c>
      <c r="M84" s="237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</row>
    <row r="85" spans="1:109" s="64" customFormat="1" ht="30" customHeight="1" x14ac:dyDescent="0.2">
      <c r="A85" s="28"/>
      <c r="B85" s="365" t="s">
        <v>52</v>
      </c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7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</row>
    <row r="86" spans="1:109" ht="30" customHeight="1" x14ac:dyDescent="0.2">
      <c r="B86" s="252">
        <v>42</v>
      </c>
      <c r="C86" s="253" t="s">
        <v>229</v>
      </c>
      <c r="D86" s="332" t="s">
        <v>425</v>
      </c>
      <c r="E86" s="78" t="s">
        <v>426</v>
      </c>
      <c r="F86" s="53">
        <v>15</v>
      </c>
      <c r="G86" s="235">
        <v>214</v>
      </c>
      <c r="H86" s="233">
        <f>ROUND(F86*G86,2)</f>
        <v>3210</v>
      </c>
      <c r="I86" s="241">
        <v>0</v>
      </c>
      <c r="J86" s="236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0</v>
      </c>
      <c r="K86" s="236">
        <f>J86</f>
        <v>0</v>
      </c>
      <c r="L86" s="235">
        <f>H86+I86-K86</f>
        <v>3210</v>
      </c>
      <c r="M86" s="238"/>
      <c r="N86" s="151">
        <f>L86/2</f>
        <v>1605</v>
      </c>
      <c r="O86" s="4"/>
      <c r="P86" s="54"/>
      <c r="Q86" s="35"/>
      <c r="R86" s="25"/>
      <c r="S86" s="25"/>
      <c r="T86" s="25"/>
      <c r="U86" s="25"/>
      <c r="V86" s="25"/>
      <c r="W86" s="25"/>
      <c r="X86" s="25"/>
      <c r="Y86" s="25"/>
      <c r="Z86" s="4"/>
    </row>
    <row r="87" spans="1:109" ht="30" customHeight="1" x14ac:dyDescent="0.2">
      <c r="B87" s="252">
        <v>43</v>
      </c>
      <c r="C87" s="253" t="s">
        <v>229</v>
      </c>
      <c r="D87" s="332" t="s">
        <v>427</v>
      </c>
      <c r="E87" s="78" t="s">
        <v>61</v>
      </c>
      <c r="F87" s="53">
        <v>15</v>
      </c>
      <c r="G87" s="235">
        <v>229.733</v>
      </c>
      <c r="H87" s="233">
        <f>ROUND(F87*G87,2)</f>
        <v>3446</v>
      </c>
      <c r="I87" s="241">
        <v>0</v>
      </c>
      <c r="J87" s="236">
        <f>IF(G87&lt;=248.93,0,(IFERROR(IF(ROUND((((H87/F87*30.4)-VLOOKUP((H87/F87*30.4),TARIFA,1))*VLOOKUP((H87/F87*30.4),TARIFA,3)+VLOOKUP((H87/F87*30.4),TARIFA,2)-VLOOKUP((H87/F87*30.4),SUBSIDIO,2))/30.4*F87,2)&gt;0,ROUND((((H87/F87*30.4)-VLOOKUP((H87/F87*30.4),TARIFA,1))*VLOOKUP((H87/F87*30.4),TARIFA,3)+VLOOKUP((H87/F87*30.4),TARIFA,2)-VLOOKUP((H87/F87*30.4),SUBSIDIO,2))/30.4*F87,2),0),0)))</f>
        <v>0</v>
      </c>
      <c r="K87" s="236">
        <f>J87</f>
        <v>0</v>
      </c>
      <c r="L87" s="235">
        <f>H87+I87-K87</f>
        <v>3446</v>
      </c>
      <c r="M87" s="238"/>
      <c r="N87" s="151">
        <f>L87/2</f>
        <v>1723</v>
      </c>
      <c r="O87" s="4"/>
      <c r="P87" s="54"/>
      <c r="Q87" s="35"/>
      <c r="R87" s="25"/>
      <c r="S87" s="25"/>
      <c r="T87" s="25"/>
      <c r="U87" s="25"/>
      <c r="V87" s="25"/>
      <c r="W87" s="25"/>
      <c r="X87" s="25"/>
      <c r="Y87" s="25"/>
      <c r="Z87" s="4"/>
    </row>
    <row r="88" spans="1:109" ht="30" customHeight="1" x14ac:dyDescent="0.2">
      <c r="B88" s="252"/>
      <c r="C88" s="253"/>
      <c r="D88" s="59"/>
      <c r="E88" s="254" t="s">
        <v>33</v>
      </c>
      <c r="F88" s="254"/>
      <c r="G88" s="240"/>
      <c r="H88" s="79">
        <f>SUM(H86:H87)</f>
        <v>6656</v>
      </c>
      <c r="I88" s="239">
        <f>SUM(I86:I87)</f>
        <v>0</v>
      </c>
      <c r="J88" s="239">
        <f>SUM(J86:J87)</f>
        <v>0</v>
      </c>
      <c r="K88" s="239">
        <f>SUM(K86:K87)</f>
        <v>0</v>
      </c>
      <c r="L88" s="79">
        <f>SUM(L86:L87)</f>
        <v>6656</v>
      </c>
      <c r="M88" s="237"/>
      <c r="N88" s="4"/>
      <c r="O88" s="4"/>
      <c r="P88" s="54"/>
      <c r="Q88" s="35"/>
      <c r="R88" s="25"/>
      <c r="S88" s="25"/>
      <c r="T88" s="25"/>
      <c r="U88" s="25"/>
      <c r="V88" s="25"/>
      <c r="W88" s="25"/>
      <c r="X88" s="25"/>
      <c r="Y88" s="25"/>
      <c r="Z88" s="4"/>
    </row>
    <row r="89" spans="1:109" s="64" customFormat="1" ht="30" customHeight="1" x14ac:dyDescent="0.2">
      <c r="A89" s="28"/>
      <c r="B89" s="365" t="s">
        <v>428</v>
      </c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7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</row>
    <row r="90" spans="1:109" ht="30" customHeight="1" x14ac:dyDescent="0.2">
      <c r="B90" s="252">
        <v>44</v>
      </c>
      <c r="C90" s="253" t="s">
        <v>229</v>
      </c>
      <c r="D90" s="335" t="s">
        <v>429</v>
      </c>
      <c r="E90" s="78" t="s">
        <v>35</v>
      </c>
      <c r="F90" s="53">
        <v>15</v>
      </c>
      <c r="G90" s="235">
        <v>598.53300000000002</v>
      </c>
      <c r="H90" s="233">
        <f>ROUND(F90*G90,2)</f>
        <v>8978</v>
      </c>
      <c r="I90" s="241">
        <v>0</v>
      </c>
      <c r="J90" s="235">
        <f>IF(G90&lt;=248.93,0,(IFERROR(IF(ROUND((((H90/F90*30.4)-VLOOKUP((H90/F90*30.4),TARIFA,1))*VLOOKUP((H90/F90*30.4),TARIFA,3)+VLOOKUP((H90/F90*30.4),TARIFA,2)-VLOOKUP((H90/F90*30.4),SUBSIDIO,2))/30.4*F90,2)&gt;0,ROUND((((H90/F90*30.4)-VLOOKUP((H90/F90*30.4),TARIFA,1))*VLOOKUP((H90/F90*30.4),TARIFA,3)+VLOOKUP((H90/F90*30.4),TARIFA,2)-VLOOKUP((H90/F90*30.4),SUBSIDIO,2))/30.4*F90,2),0),0)))</f>
        <v>1094.68</v>
      </c>
      <c r="K90" s="235">
        <f>J90</f>
        <v>1094.68</v>
      </c>
      <c r="L90" s="235">
        <f>H90+I90-K90</f>
        <v>7883.32</v>
      </c>
      <c r="M90" s="238"/>
      <c r="N90" s="151">
        <f>L90/2</f>
        <v>3941.66</v>
      </c>
      <c r="O90" s="4"/>
      <c r="P90" s="54"/>
      <c r="Q90" s="35"/>
      <c r="R90" s="25"/>
      <c r="S90" s="25"/>
      <c r="T90" s="25"/>
      <c r="U90" s="25"/>
      <c r="V90" s="25"/>
      <c r="W90" s="25"/>
      <c r="X90" s="25"/>
      <c r="Y90" s="25"/>
      <c r="Z90" s="4"/>
    </row>
    <row r="91" spans="1:109" ht="30" customHeight="1" x14ac:dyDescent="0.2">
      <c r="B91" s="252">
        <v>45</v>
      </c>
      <c r="C91" s="253" t="s">
        <v>229</v>
      </c>
      <c r="D91" s="332" t="s">
        <v>430</v>
      </c>
      <c r="E91" s="78" t="s">
        <v>42</v>
      </c>
      <c r="F91" s="53">
        <v>15</v>
      </c>
      <c r="G91" s="235">
        <v>228.733</v>
      </c>
      <c r="H91" s="233">
        <f>ROUND(F91*G91,2)</f>
        <v>3431</v>
      </c>
      <c r="I91" s="241">
        <v>0</v>
      </c>
      <c r="J91" s="236">
        <f>IF(G91&lt;=248.93,0,(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))</f>
        <v>0</v>
      </c>
      <c r="K91" s="236">
        <v>0</v>
      </c>
      <c r="L91" s="235">
        <f>H91+I91-K91</f>
        <v>3431</v>
      </c>
      <c r="M91" s="238"/>
      <c r="N91" s="151">
        <f>L91/2</f>
        <v>1715.5</v>
      </c>
      <c r="O91" s="4"/>
      <c r="P91" s="54"/>
      <c r="Q91" s="35"/>
      <c r="R91" s="25"/>
      <c r="S91" s="25"/>
      <c r="T91" s="25"/>
      <c r="U91" s="25"/>
      <c r="V91" s="25"/>
      <c r="W91" s="25"/>
      <c r="X91" s="25"/>
      <c r="Y91" s="25"/>
      <c r="Z91" s="4"/>
    </row>
    <row r="92" spans="1:109" s="5" customFormat="1" ht="30" customHeight="1" x14ac:dyDescent="0.2">
      <c r="B92" s="252"/>
      <c r="C92" s="253"/>
      <c r="D92" s="59"/>
      <c r="E92" s="254" t="s">
        <v>33</v>
      </c>
      <c r="F92" s="273"/>
      <c r="G92" s="240"/>
      <c r="H92" s="79">
        <f>SUM(H90:H91)</f>
        <v>12409</v>
      </c>
      <c r="I92" s="239">
        <f>SUM(I90:I91)</f>
        <v>0</v>
      </c>
      <c r="J92" s="79">
        <f>SUM(J90:J91)</f>
        <v>1094.68</v>
      </c>
      <c r="K92" s="79">
        <f>SUM(K90:K91)</f>
        <v>1094.68</v>
      </c>
      <c r="L92" s="79">
        <f>SUM(L90:L91)</f>
        <v>11314.32</v>
      </c>
      <c r="M92" s="237"/>
    </row>
    <row r="93" spans="1:109" s="64" customFormat="1" ht="30" customHeight="1" x14ac:dyDescent="0.2">
      <c r="A93" s="28"/>
      <c r="B93" s="365" t="s">
        <v>431</v>
      </c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7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</row>
    <row r="94" spans="1:109" ht="30" customHeight="1" x14ac:dyDescent="0.2">
      <c r="B94" s="252">
        <v>46</v>
      </c>
      <c r="C94" s="253" t="s">
        <v>229</v>
      </c>
      <c r="D94" s="332" t="s">
        <v>432</v>
      </c>
      <c r="E94" s="78" t="s">
        <v>35</v>
      </c>
      <c r="F94" s="53">
        <v>15</v>
      </c>
      <c r="G94" s="235">
        <v>315.13299999999998</v>
      </c>
      <c r="H94" s="233">
        <f>ROUND(F94*G94,2)</f>
        <v>4727</v>
      </c>
      <c r="I94" s="241">
        <v>0</v>
      </c>
      <c r="J94" s="235">
        <f>IF(G94&lt;=248.93,0,(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))</f>
        <v>357.83</v>
      </c>
      <c r="K94" s="235">
        <f>J94</f>
        <v>357.83</v>
      </c>
      <c r="L94" s="235">
        <f>H94+I94-K94</f>
        <v>4369.17</v>
      </c>
      <c r="M94" s="238"/>
      <c r="N94" s="151">
        <f>L94/2</f>
        <v>2184.585</v>
      </c>
      <c r="O94" s="4"/>
      <c r="P94" s="54"/>
      <c r="Q94" s="35"/>
      <c r="R94" s="25"/>
      <c r="S94" s="25"/>
      <c r="T94" s="25"/>
      <c r="U94" s="25"/>
      <c r="V94" s="25"/>
      <c r="W94" s="25"/>
      <c r="X94" s="25"/>
      <c r="Y94" s="25"/>
      <c r="Z94" s="4"/>
    </row>
    <row r="95" spans="1:109" ht="30" customHeight="1" x14ac:dyDescent="0.2">
      <c r="B95" s="252"/>
      <c r="C95" s="253"/>
      <c r="D95" s="59"/>
      <c r="E95" s="254" t="s">
        <v>33</v>
      </c>
      <c r="F95" s="273"/>
      <c r="G95" s="240"/>
      <c r="H95" s="79">
        <f>SUM(H94:H94)</f>
        <v>4727</v>
      </c>
      <c r="I95" s="239">
        <f>SUM(I94:I94)</f>
        <v>0</v>
      </c>
      <c r="J95" s="79">
        <f>SUM(J94:J94)</f>
        <v>357.83</v>
      </c>
      <c r="K95" s="79">
        <f>SUM(K94:K94)</f>
        <v>357.83</v>
      </c>
      <c r="L95" s="79">
        <f>SUM(L94:L94)</f>
        <v>4369.17</v>
      </c>
      <c r="M95" s="237"/>
      <c r="N95" s="151"/>
      <c r="O95" s="4"/>
      <c r="P95" s="54"/>
      <c r="Q95" s="35"/>
      <c r="R95" s="25"/>
      <c r="S95" s="25"/>
      <c r="T95" s="25"/>
      <c r="U95" s="25"/>
      <c r="V95" s="25"/>
      <c r="W95" s="25"/>
      <c r="X95" s="25"/>
      <c r="Y95" s="25"/>
      <c r="Z95" s="4"/>
    </row>
    <row r="96" spans="1:109" ht="30" customHeight="1" x14ac:dyDescent="0.2">
      <c r="B96" s="376" t="s">
        <v>433</v>
      </c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77"/>
      <c r="N96" s="151"/>
      <c r="O96" s="4"/>
      <c r="P96" s="54"/>
      <c r="Q96" s="35"/>
      <c r="R96" s="25"/>
      <c r="S96" s="25"/>
      <c r="T96" s="25"/>
      <c r="U96" s="25"/>
      <c r="V96" s="25"/>
      <c r="W96" s="25"/>
      <c r="X96" s="25"/>
      <c r="Y96" s="25"/>
      <c r="Z96" s="4"/>
    </row>
    <row r="97" spans="1:109" ht="30" customHeight="1" x14ac:dyDescent="0.2">
      <c r="B97" s="219">
        <v>47</v>
      </c>
      <c r="C97" s="219" t="s">
        <v>229</v>
      </c>
      <c r="D97" s="332" t="s">
        <v>434</v>
      </c>
      <c r="E97" s="78" t="s">
        <v>35</v>
      </c>
      <c r="F97" s="53">
        <v>15</v>
      </c>
      <c r="G97" s="235">
        <v>315.13299999999998</v>
      </c>
      <c r="H97" s="233">
        <f>ROUND(F97*G97,2)</f>
        <v>4727</v>
      </c>
      <c r="I97" s="241">
        <v>0</v>
      </c>
      <c r="J97" s="235">
        <f>IF(G97&lt;=248.93,0,(IFERROR(IF(ROUND((((H97/F97*30.4)-VLOOKUP((H97/F97*30.4),TARIFA,1))*VLOOKUP((H97/F97*30.4),TARIFA,3)+VLOOKUP((H97/F97*30.4),TARIFA,2)-VLOOKUP((H97/F97*30.4),SUBSIDIO,2))/30.4*F97,2)&gt;0,ROUND((((H97/F97*30.4)-VLOOKUP((H97/F97*30.4),TARIFA,1))*VLOOKUP((H97/F97*30.4),TARIFA,3)+VLOOKUP((H97/F97*30.4),TARIFA,2)-VLOOKUP((H97/F97*30.4),SUBSIDIO,2))/30.4*F97,2),0),0)))</f>
        <v>357.83</v>
      </c>
      <c r="K97" s="235">
        <f>J97</f>
        <v>357.83</v>
      </c>
      <c r="L97" s="235">
        <f>H97+I97-K97</f>
        <v>4369.17</v>
      </c>
      <c r="M97" s="79"/>
      <c r="N97" s="151">
        <f t="shared" ref="N97" si="14">L97/2</f>
        <v>2184.585</v>
      </c>
      <c r="O97" s="4"/>
      <c r="P97" s="54"/>
      <c r="Q97" s="35"/>
      <c r="R97" s="25"/>
      <c r="S97" s="25"/>
      <c r="T97" s="25"/>
      <c r="U97" s="25"/>
      <c r="V97" s="25"/>
      <c r="W97" s="25"/>
      <c r="X97" s="25"/>
      <c r="Y97" s="25"/>
      <c r="Z97" s="4"/>
    </row>
    <row r="98" spans="1:109" ht="30" customHeight="1" x14ac:dyDescent="0.2">
      <c r="B98" s="219"/>
      <c r="C98" s="219"/>
      <c r="D98" s="59"/>
      <c r="E98" s="254"/>
      <c r="F98" s="254"/>
      <c r="G98" s="240"/>
      <c r="H98" s="79">
        <f>SUM(H97:H97)</f>
        <v>4727</v>
      </c>
      <c r="I98" s="239">
        <f>SUM(I97:I97)</f>
        <v>0</v>
      </c>
      <c r="J98" s="79">
        <f>SUM(J97:J97)</f>
        <v>357.83</v>
      </c>
      <c r="K98" s="79">
        <f>SUM(K97:K97)</f>
        <v>357.83</v>
      </c>
      <c r="L98" s="79">
        <f>SUM(L97:L97)</f>
        <v>4369.17</v>
      </c>
      <c r="M98" s="79"/>
      <c r="N98" s="4"/>
      <c r="O98" s="4"/>
      <c r="P98" s="54"/>
      <c r="Q98" s="35"/>
      <c r="R98" s="25"/>
      <c r="S98" s="25"/>
      <c r="T98" s="25"/>
      <c r="U98" s="25"/>
      <c r="V98" s="25"/>
      <c r="W98" s="25"/>
      <c r="X98" s="25"/>
      <c r="Y98" s="25"/>
      <c r="Z98" s="4"/>
    </row>
    <row r="99" spans="1:109" ht="30" customHeight="1" x14ac:dyDescent="0.2">
      <c r="B99" s="378" t="s">
        <v>435</v>
      </c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80"/>
      <c r="N99" s="4"/>
      <c r="O99" s="4"/>
      <c r="P99" s="54"/>
      <c r="Q99" s="35"/>
      <c r="R99" s="25"/>
      <c r="S99" s="25"/>
      <c r="T99" s="25"/>
      <c r="U99" s="25"/>
      <c r="V99" s="25"/>
      <c r="W99" s="25"/>
      <c r="X99" s="25"/>
      <c r="Y99" s="25"/>
      <c r="Z99" s="4"/>
    </row>
    <row r="100" spans="1:109" ht="30" customHeight="1" x14ac:dyDescent="0.2">
      <c r="B100" s="252">
        <v>48</v>
      </c>
      <c r="C100" s="253" t="s">
        <v>229</v>
      </c>
      <c r="D100" s="332" t="s">
        <v>436</v>
      </c>
      <c r="E100" s="78" t="s">
        <v>35</v>
      </c>
      <c r="F100" s="53">
        <v>15</v>
      </c>
      <c r="G100" s="235">
        <v>523.65</v>
      </c>
      <c r="H100" s="233">
        <f>ROUND(F100*G100,2)</f>
        <v>7854.75</v>
      </c>
      <c r="I100" s="241">
        <v>0</v>
      </c>
      <c r="J100" s="235">
        <f>IF(G100&lt;=248.93,0,(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))</f>
        <v>854.75</v>
      </c>
      <c r="K100" s="235">
        <f>J100</f>
        <v>854.75</v>
      </c>
      <c r="L100" s="235">
        <f>H100+I100-K100</f>
        <v>7000</v>
      </c>
      <c r="M100" s="238"/>
      <c r="N100" s="151">
        <f>L100/2</f>
        <v>3500</v>
      </c>
      <c r="O100" s="4"/>
      <c r="P100" s="54"/>
      <c r="Q100" s="35"/>
      <c r="R100" s="25"/>
      <c r="S100" s="25"/>
      <c r="T100" s="25"/>
      <c r="U100" s="25"/>
      <c r="V100" s="25"/>
      <c r="W100" s="25"/>
      <c r="X100" s="25"/>
      <c r="Y100" s="25"/>
      <c r="Z100" s="4"/>
    </row>
    <row r="101" spans="1:109" ht="30" customHeight="1" x14ac:dyDescent="0.2">
      <c r="B101" s="252"/>
      <c r="C101" s="253"/>
      <c r="D101" s="59"/>
      <c r="E101" s="254" t="s">
        <v>33</v>
      </c>
      <c r="F101" s="273"/>
      <c r="G101" s="240"/>
      <c r="H101" s="79">
        <f>SUM(H100:H100)</f>
        <v>7854.75</v>
      </c>
      <c r="I101" s="239">
        <f>SUM(I100:I100)</f>
        <v>0</v>
      </c>
      <c r="J101" s="79">
        <f>SUM(J100:J100)</f>
        <v>854.75</v>
      </c>
      <c r="K101" s="79">
        <f>SUM(K100:K100)</f>
        <v>854.75</v>
      </c>
      <c r="L101" s="79">
        <f>SUM(L100:L100)</f>
        <v>7000</v>
      </c>
      <c r="M101" s="237"/>
      <c r="N101" s="4"/>
      <c r="O101" s="4"/>
      <c r="P101" s="54"/>
      <c r="Q101" s="35"/>
      <c r="R101" s="25"/>
      <c r="S101" s="25"/>
      <c r="T101" s="25"/>
      <c r="U101" s="25"/>
      <c r="V101" s="25"/>
      <c r="W101" s="25"/>
      <c r="X101" s="25"/>
      <c r="Y101" s="25"/>
      <c r="Z101" s="4"/>
    </row>
    <row r="102" spans="1:109" s="64" customFormat="1" ht="30" customHeight="1" x14ac:dyDescent="0.2">
      <c r="A102" s="28"/>
      <c r="B102" s="378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80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</row>
    <row r="103" spans="1:109" ht="30" customHeight="1" x14ac:dyDescent="0.2">
      <c r="B103" s="381" t="s">
        <v>17</v>
      </c>
      <c r="C103" s="382"/>
      <c r="D103" s="382"/>
      <c r="E103" s="382"/>
      <c r="F103" s="382"/>
      <c r="G103" s="383"/>
      <c r="H103" s="79">
        <f>+H13+H16+H20+H28+H32+H38+H44+H48+H52+H55+H58+H66+H69+H74+H78+H81+H88+H92+H95+H101+H84+H98+H41</f>
        <v>242744.02000000002</v>
      </c>
      <c r="I103" s="79">
        <f>+I13+I16+I20+I28+I32+I38+I44+I48+I52+I55+I58+I66+I69+I74+I78+I81+I88+I92+I95+I101+I84+I98+I41</f>
        <v>0</v>
      </c>
      <c r="J103" s="79">
        <f>+J13+J16+J20+J28+J32+J38+J44+J48+J52+J55+J58+J66+J69+J74+J78+J81+J88+J92+J95+J101+J84+J98+J41</f>
        <v>18566.670000000002</v>
      </c>
      <c r="K103" s="79">
        <f>+K13+K16+K20+K28+K32+K38+K44+K48+K52+K55+K58+K66+K69+K74+K78+K81+K88+K92+K95+K101+K84+K98+K41</f>
        <v>18566.670000000002</v>
      </c>
      <c r="L103" s="79">
        <f>+L13+L16+L20+L28+L32+L38+L44+L48+L52+L55+L58+L66+L69+L74+L78+L81+L88+L92+L95+L101+L84+L98+L41</f>
        <v>224177.35</v>
      </c>
      <c r="M103" s="79">
        <f>+M13+M16+M20+M28+M32+M38+M44+M48+M52+M55+M58+M66+M69+M74+M78+M81+M88+M92+M95+M101+M84</f>
        <v>0</v>
      </c>
      <c r="N103" s="151">
        <f>SUM(N9:N102)</f>
        <v>107566.5</v>
      </c>
      <c r="O103" s="4"/>
      <c r="P103" s="54"/>
      <c r="Q103" s="35"/>
      <c r="R103" s="25"/>
      <c r="S103" s="25"/>
      <c r="T103" s="25"/>
      <c r="U103" s="25"/>
      <c r="V103" s="25"/>
      <c r="W103" s="25"/>
      <c r="X103" s="25"/>
      <c r="Y103" s="25"/>
      <c r="Z103" s="4"/>
    </row>
    <row r="104" spans="1:109" ht="14.25" customHeight="1" x14ac:dyDescent="0.2">
      <c r="B104" s="86"/>
      <c r="C104" s="84"/>
      <c r="D104" s="84"/>
      <c r="E104" s="84"/>
      <c r="F104" s="84"/>
      <c r="G104" s="84"/>
      <c r="H104" s="85"/>
      <c r="I104" s="85"/>
      <c r="J104" s="85"/>
      <c r="K104" s="85"/>
      <c r="L104" s="85"/>
      <c r="M104" s="87"/>
      <c r="N104" s="362"/>
      <c r="O104" s="362"/>
      <c r="P104" s="362"/>
      <c r="Q104" s="362"/>
      <c r="R104" s="362"/>
      <c r="S104" s="362"/>
      <c r="T104" s="362"/>
      <c r="U104" s="362"/>
      <c r="V104" s="362"/>
      <c r="W104" s="362"/>
      <c r="X104" s="362"/>
      <c r="Y104" s="362"/>
      <c r="Z104" s="362"/>
    </row>
    <row r="105" spans="1:109" ht="20.25" customHeight="1" x14ac:dyDescent="0.2">
      <c r="B105" s="86"/>
      <c r="C105" s="84"/>
      <c r="D105" s="84"/>
      <c r="E105" s="84"/>
      <c r="F105" s="84"/>
      <c r="G105" s="84"/>
      <c r="H105" s="85"/>
      <c r="I105" s="85"/>
      <c r="J105" s="85"/>
      <c r="K105" s="85"/>
      <c r="L105" s="85"/>
      <c r="M105" s="87"/>
      <c r="N105" s="361"/>
      <c r="O105" s="361"/>
      <c r="P105" s="361"/>
      <c r="Q105" s="361"/>
      <c r="R105" s="361"/>
      <c r="S105" s="361"/>
      <c r="T105" s="361"/>
      <c r="U105" s="85"/>
      <c r="V105" s="85"/>
      <c r="W105" s="85"/>
      <c r="X105" s="85"/>
      <c r="Y105" s="85"/>
      <c r="Z105" s="85"/>
    </row>
    <row r="106" spans="1:109" ht="20.100000000000001" customHeight="1" x14ac:dyDescent="0.2">
      <c r="B106" s="86"/>
      <c r="C106" s="84"/>
      <c r="D106" s="84"/>
      <c r="E106" s="84"/>
      <c r="F106" s="84"/>
      <c r="G106" s="84"/>
      <c r="H106" s="85"/>
      <c r="I106" s="85"/>
      <c r="J106" s="85"/>
      <c r="K106" s="85"/>
      <c r="L106" s="85"/>
      <c r="M106" s="87"/>
      <c r="N106" s="84"/>
      <c r="O106" s="84"/>
      <c r="P106" s="84"/>
      <c r="Q106" s="84"/>
      <c r="R106" s="84"/>
      <c r="S106" s="84"/>
      <c r="T106" s="84"/>
      <c r="U106" s="85"/>
      <c r="V106" s="85"/>
      <c r="W106" s="85"/>
      <c r="X106" s="85"/>
      <c r="Y106" s="85"/>
      <c r="Z106" s="85"/>
    </row>
    <row r="107" spans="1:109" ht="20.100000000000001" customHeight="1" x14ac:dyDescent="0.2">
      <c r="B107" s="86"/>
      <c r="C107" s="84"/>
      <c r="D107" s="84"/>
      <c r="E107" s="84"/>
      <c r="F107" s="84"/>
      <c r="G107" s="84"/>
      <c r="H107" s="85"/>
      <c r="I107" s="85"/>
      <c r="J107" s="85"/>
      <c r="K107" s="85"/>
      <c r="L107" s="85"/>
      <c r="M107" s="87"/>
      <c r="N107" s="84"/>
      <c r="O107" s="84"/>
      <c r="P107" s="84"/>
      <c r="Q107" s="84"/>
      <c r="R107" s="84"/>
      <c r="S107" s="84"/>
      <c r="T107" s="84"/>
      <c r="U107" s="85"/>
      <c r="V107" s="85"/>
      <c r="W107" s="85"/>
      <c r="X107" s="85"/>
      <c r="Y107" s="85"/>
      <c r="Z107" s="85"/>
    </row>
    <row r="108" spans="1:109" ht="20.100000000000001" customHeight="1" x14ac:dyDescent="0.2">
      <c r="B108" s="74"/>
      <c r="C108" s="5"/>
      <c r="D108" s="360" t="s">
        <v>301</v>
      </c>
      <c r="E108" s="360"/>
      <c r="F108" s="5"/>
      <c r="G108" s="5"/>
      <c r="H108" s="32"/>
      <c r="K108" s="73" t="s">
        <v>178</v>
      </c>
      <c r="L108" s="73"/>
      <c r="M108" s="72"/>
      <c r="N108" s="84"/>
      <c r="O108" s="84"/>
      <c r="P108" s="84"/>
      <c r="Q108" s="84"/>
      <c r="R108" s="84"/>
      <c r="S108" s="84"/>
      <c r="T108" s="84"/>
      <c r="U108" s="85"/>
      <c r="V108" s="85"/>
      <c r="W108" s="85"/>
      <c r="X108" s="85"/>
      <c r="Y108" s="85"/>
      <c r="Z108" s="85"/>
    </row>
    <row r="109" spans="1:109" ht="20.100000000000001" customHeight="1" thickBot="1" x14ac:dyDescent="0.25">
      <c r="B109" s="75"/>
      <c r="C109" s="76"/>
      <c r="D109" s="363" t="s">
        <v>177</v>
      </c>
      <c r="E109" s="363"/>
      <c r="F109" s="76"/>
      <c r="G109" s="76"/>
      <c r="H109" s="77"/>
      <c r="I109" s="96"/>
      <c r="J109" s="96"/>
      <c r="K109" s="363" t="s">
        <v>179</v>
      </c>
      <c r="L109" s="363"/>
      <c r="M109" s="364"/>
      <c r="N109" s="84"/>
      <c r="O109" s="84"/>
      <c r="P109" s="84"/>
      <c r="Q109" s="84"/>
      <c r="R109" s="84"/>
      <c r="S109" s="84"/>
      <c r="T109" s="84"/>
      <c r="U109" s="85"/>
      <c r="V109" s="85"/>
      <c r="W109" s="85"/>
      <c r="X109" s="85"/>
      <c r="Y109" s="85"/>
      <c r="Z109" s="85"/>
    </row>
    <row r="110" spans="1:109" ht="13.5" x14ac:dyDescent="0.2">
      <c r="B110" s="5"/>
      <c r="C110" s="5"/>
      <c r="D110" s="360"/>
      <c r="E110" s="360"/>
      <c r="F110" s="5"/>
      <c r="G110" s="5"/>
      <c r="H110" s="32"/>
      <c r="K110" s="73"/>
      <c r="L110" s="73"/>
      <c r="M110" s="5"/>
    </row>
    <row r="111" spans="1:109" ht="13.5" customHeight="1" x14ac:dyDescent="0.2">
      <c r="B111" s="5"/>
      <c r="C111" s="5"/>
      <c r="D111" s="358"/>
      <c r="E111" s="358"/>
      <c r="F111" s="5"/>
      <c r="G111" s="5"/>
      <c r="H111" s="32"/>
      <c r="K111" s="358"/>
      <c r="L111" s="358"/>
      <c r="M111" s="358"/>
    </row>
    <row r="112" spans="1:109" x14ac:dyDescent="0.2">
      <c r="M112" s="24"/>
    </row>
    <row r="114" spans="5:13" x14ac:dyDescent="0.2">
      <c r="K114" s="25" t="s">
        <v>73</v>
      </c>
      <c r="L114" s="110">
        <f>L9+L10+L11+L12+L15+L18+L19+L22+L25+L26+L27+L30+L31+L34+L35+L36+L37+L40+L43+L46+L50+L54+L57+L60+L61+L62+L63+L64+L68+L71+L72+L76+L77+L80+L83+L86+L87+L90+L91+L94+L97+L100+L65</f>
        <v>210023.55000000002</v>
      </c>
      <c r="M114" s="151"/>
    </row>
    <row r="115" spans="5:13" x14ac:dyDescent="0.2">
      <c r="K115" s="25" t="s">
        <v>74</v>
      </c>
      <c r="L115" s="110">
        <f>L23+L51+L73+L47+L24</f>
        <v>14153.800000000001</v>
      </c>
    </row>
    <row r="116" spans="5:13" x14ac:dyDescent="0.2">
      <c r="E116" s="35" t="s">
        <v>227</v>
      </c>
      <c r="L116" s="110"/>
    </row>
    <row r="117" spans="5:13" x14ac:dyDescent="0.2">
      <c r="L117" s="110">
        <f>SUM(L114:L116)</f>
        <v>224177.35</v>
      </c>
    </row>
    <row r="118" spans="5:13" x14ac:dyDescent="0.2">
      <c r="K118" s="25" t="s">
        <v>185</v>
      </c>
      <c r="L118" s="111">
        <f>L103-L117</f>
        <v>0</v>
      </c>
    </row>
  </sheetData>
  <mergeCells count="36">
    <mergeCell ref="B96:M96"/>
    <mergeCell ref="B99:M99"/>
    <mergeCell ref="B102:M102"/>
    <mergeCell ref="B103:G103"/>
    <mergeCell ref="B14:M14"/>
    <mergeCell ref="B17:M17"/>
    <mergeCell ref="B21:M21"/>
    <mergeCell ref="E2:J2"/>
    <mergeCell ref="E5:J5"/>
    <mergeCell ref="K5:M5"/>
    <mergeCell ref="D7:I7"/>
    <mergeCell ref="B29:M29"/>
    <mergeCell ref="B33:M33"/>
    <mergeCell ref="B85:M85"/>
    <mergeCell ref="B67:M67"/>
    <mergeCell ref="B70:M70"/>
    <mergeCell ref="B53:M53"/>
    <mergeCell ref="B56:M56"/>
    <mergeCell ref="B59:M59"/>
    <mergeCell ref="B42:M42"/>
    <mergeCell ref="B45:M45"/>
    <mergeCell ref="B49:M49"/>
    <mergeCell ref="B39:M39"/>
    <mergeCell ref="B89:M89"/>
    <mergeCell ref="B93:M93"/>
    <mergeCell ref="B75:M75"/>
    <mergeCell ref="B79:M79"/>
    <mergeCell ref="B82:M82"/>
    <mergeCell ref="D111:E111"/>
    <mergeCell ref="K111:M111"/>
    <mergeCell ref="N105:T105"/>
    <mergeCell ref="N104:Z104"/>
    <mergeCell ref="D110:E110"/>
    <mergeCell ref="D108:E108"/>
    <mergeCell ref="D109:E109"/>
    <mergeCell ref="K109:M109"/>
  </mergeCells>
  <pageMargins left="0.25" right="0.25" top="0.75" bottom="0.75" header="0.3" footer="0.3"/>
  <pageSetup scale="91" fitToHeight="0" orientation="landscape" horizontalDpi="4294967293" r:id="rId1"/>
  <rowBreaks count="1" manualBreakCount="1">
    <brk id="83" min="13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4"/>
  <sheetViews>
    <sheetView showGridLines="0" topLeftCell="A127" zoomScale="80" zoomScaleNormal="80" workbookViewId="0">
      <selection activeCell="F128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65" customWidth="1"/>
    <col min="5" max="5" width="20.140625" style="62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97"/>
      <c r="C1" s="138"/>
      <c r="D1" s="98"/>
      <c r="E1" s="99"/>
      <c r="F1" s="100"/>
      <c r="G1" s="100"/>
      <c r="H1" s="100"/>
      <c r="I1" s="100"/>
      <c r="J1" s="152"/>
      <c r="K1" s="100"/>
      <c r="L1" s="100"/>
      <c r="M1" s="101"/>
    </row>
    <row r="2" spans="1:14" ht="24" customHeight="1" x14ac:dyDescent="0.2">
      <c r="B2" s="102"/>
      <c r="C2" s="139"/>
      <c r="D2" s="61"/>
      <c r="E2" s="371" t="s">
        <v>183</v>
      </c>
      <c r="F2" s="371"/>
      <c r="G2" s="371"/>
      <c r="H2" s="371"/>
      <c r="I2" s="371"/>
      <c r="J2" s="371"/>
      <c r="K2" s="103"/>
      <c r="L2" s="103"/>
      <c r="M2" s="104"/>
      <c r="N2" s="46"/>
    </row>
    <row r="3" spans="1:14" ht="14.25" x14ac:dyDescent="0.2">
      <c r="B3" s="102"/>
      <c r="C3" s="139"/>
      <c r="D3" s="61"/>
      <c r="E3" s="105"/>
      <c r="F3" s="103"/>
      <c r="G3" s="103"/>
      <c r="H3" s="103"/>
      <c r="I3" s="103"/>
      <c r="J3" s="103"/>
      <c r="K3" s="103"/>
      <c r="L3" s="103"/>
      <c r="M3" s="104"/>
      <c r="N3" s="46"/>
    </row>
    <row r="4" spans="1:14" ht="14.25" x14ac:dyDescent="0.2">
      <c r="B4" s="102"/>
      <c r="C4" s="139"/>
      <c r="D4" s="61"/>
      <c r="E4" s="105"/>
      <c r="F4" s="103"/>
      <c r="G4" s="103"/>
      <c r="H4" s="103"/>
      <c r="I4" s="103"/>
      <c r="J4" s="103"/>
      <c r="K4" s="103"/>
      <c r="L4" s="103"/>
      <c r="M4" s="104"/>
      <c r="N4" s="46"/>
    </row>
    <row r="5" spans="1:14" ht="20.25" x14ac:dyDescent="0.2">
      <c r="B5" s="106"/>
      <c r="C5" s="38"/>
      <c r="D5" s="61"/>
      <c r="E5" s="371" t="s">
        <v>184</v>
      </c>
      <c r="F5" s="371"/>
      <c r="G5" s="371"/>
      <c r="H5" s="371"/>
      <c r="I5" s="371"/>
      <c r="J5" s="371"/>
      <c r="K5" s="373"/>
      <c r="L5" s="373"/>
      <c r="M5" s="374"/>
      <c r="N5" s="46"/>
    </row>
    <row r="6" spans="1:14" ht="36.75" customHeight="1" thickBot="1" x14ac:dyDescent="0.25">
      <c r="B6" s="107"/>
      <c r="C6" s="45"/>
      <c r="D6" s="390" t="s">
        <v>442</v>
      </c>
      <c r="E6" s="390"/>
      <c r="F6" s="390"/>
      <c r="G6" s="390"/>
      <c r="H6" s="390"/>
      <c r="I6" s="390"/>
      <c r="J6" s="108"/>
      <c r="K6" s="108"/>
      <c r="L6" s="108"/>
      <c r="M6" s="109"/>
      <c r="N6" s="46"/>
    </row>
    <row r="7" spans="1:14" ht="30" customHeight="1" x14ac:dyDescent="0.2">
      <c r="B7" s="80" t="s">
        <v>176</v>
      </c>
      <c r="C7" s="140" t="s">
        <v>229</v>
      </c>
      <c r="D7" s="81" t="s">
        <v>14</v>
      </c>
      <c r="E7" s="81" t="s">
        <v>171</v>
      </c>
      <c r="F7" s="81" t="s">
        <v>174</v>
      </c>
      <c r="G7" s="81" t="s">
        <v>175</v>
      </c>
      <c r="H7" s="82" t="s">
        <v>172</v>
      </c>
      <c r="I7" s="81" t="s">
        <v>187</v>
      </c>
      <c r="J7" s="81" t="s">
        <v>188</v>
      </c>
      <c r="K7" s="83" t="s">
        <v>173</v>
      </c>
      <c r="L7" s="83" t="s">
        <v>182</v>
      </c>
      <c r="M7" s="91" t="s">
        <v>181</v>
      </c>
      <c r="N7" s="46"/>
    </row>
    <row r="8" spans="1:14" s="67" customFormat="1" ht="30" customHeight="1" x14ac:dyDescent="0.2">
      <c r="A8" s="5" t="s">
        <v>28</v>
      </c>
      <c r="B8" s="255">
        <v>1</v>
      </c>
      <c r="C8" s="256" t="s">
        <v>229</v>
      </c>
      <c r="D8" s="257" t="s">
        <v>349</v>
      </c>
      <c r="E8" s="257" t="s">
        <v>68</v>
      </c>
      <c r="F8" s="258">
        <v>15</v>
      </c>
      <c r="G8" s="137">
        <v>416</v>
      </c>
      <c r="H8" s="88">
        <f t="shared" ref="H8:H14" si="0">ROUND(F8*G8,2)</f>
        <v>6240</v>
      </c>
      <c r="I8" s="113">
        <v>0</v>
      </c>
      <c r="J8" s="88">
        <f t="shared" ref="J8:J14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88">
        <f t="shared" ref="K8:K14" si="2">J8</f>
        <v>560.80999999999995</v>
      </c>
      <c r="L8" s="88">
        <f t="shared" ref="L8:L15" si="3">H8+I8-K8</f>
        <v>5679.1900000000005</v>
      </c>
      <c r="M8" s="92"/>
      <c r="N8" s="68">
        <f>L8/2</f>
        <v>2839.5950000000003</v>
      </c>
    </row>
    <row r="9" spans="1:14" s="188" customFormat="1" ht="30" customHeight="1" x14ac:dyDescent="0.2">
      <c r="A9" s="28"/>
      <c r="B9" s="255">
        <v>2</v>
      </c>
      <c r="C9" s="256" t="s">
        <v>229</v>
      </c>
      <c r="D9" s="257" t="s">
        <v>312</v>
      </c>
      <c r="E9" s="257" t="s">
        <v>41</v>
      </c>
      <c r="F9" s="258">
        <v>15</v>
      </c>
      <c r="G9" s="137">
        <v>227.06639999999999</v>
      </c>
      <c r="H9" s="88">
        <f>ROUND(F9*G9,2)</f>
        <v>3406</v>
      </c>
      <c r="I9" s="113">
        <v>0</v>
      </c>
      <c r="J9" s="113">
        <f t="shared" si="1"/>
        <v>0</v>
      </c>
      <c r="K9" s="113">
        <f>J9</f>
        <v>0</v>
      </c>
      <c r="L9" s="88">
        <f t="shared" si="3"/>
        <v>3406</v>
      </c>
      <c r="M9" s="92"/>
      <c r="N9" s="68">
        <f t="shared" ref="N9:N15" si="4">L9/2</f>
        <v>1703</v>
      </c>
    </row>
    <row r="10" spans="1:14" s="188" customFormat="1" ht="30" customHeight="1" x14ac:dyDescent="0.2">
      <c r="A10" s="28"/>
      <c r="B10" s="255">
        <v>3</v>
      </c>
      <c r="C10" s="256" t="s">
        <v>229</v>
      </c>
      <c r="D10" s="257" t="s">
        <v>117</v>
      </c>
      <c r="E10" s="257" t="s">
        <v>70</v>
      </c>
      <c r="F10" s="258">
        <v>15</v>
      </c>
      <c r="G10" s="137">
        <v>282.06639999999999</v>
      </c>
      <c r="H10" s="88">
        <f t="shared" si="0"/>
        <v>4231</v>
      </c>
      <c r="I10" s="113">
        <v>0</v>
      </c>
      <c r="J10" s="88">
        <f t="shared" si="1"/>
        <v>111.44</v>
      </c>
      <c r="K10" s="88">
        <f t="shared" si="2"/>
        <v>111.44</v>
      </c>
      <c r="L10" s="88">
        <f t="shared" si="3"/>
        <v>4119.5600000000004</v>
      </c>
      <c r="M10" s="92"/>
      <c r="N10" s="68">
        <f t="shared" si="4"/>
        <v>2059.7800000000002</v>
      </c>
    </row>
    <row r="11" spans="1:14" s="188" customFormat="1" ht="30" customHeight="1" x14ac:dyDescent="0.2">
      <c r="A11" s="28"/>
      <c r="B11" s="255">
        <v>4</v>
      </c>
      <c r="C11" s="256" t="s">
        <v>346</v>
      </c>
      <c r="D11" s="257" t="s">
        <v>118</v>
      </c>
      <c r="E11" s="257" t="s">
        <v>49</v>
      </c>
      <c r="F11" s="258">
        <v>15</v>
      </c>
      <c r="G11" s="137">
        <v>138.10599999999999</v>
      </c>
      <c r="H11" s="88">
        <f t="shared" si="0"/>
        <v>2071.59</v>
      </c>
      <c r="I11" s="113">
        <v>0</v>
      </c>
      <c r="J11" s="113">
        <f t="shared" si="1"/>
        <v>0</v>
      </c>
      <c r="K11" s="113">
        <f t="shared" si="2"/>
        <v>0</v>
      </c>
      <c r="L11" s="88">
        <f t="shared" si="3"/>
        <v>2071.59</v>
      </c>
      <c r="M11" s="92"/>
      <c r="N11" s="68"/>
    </row>
    <row r="12" spans="1:14" s="67" customFormat="1" ht="30" customHeight="1" x14ac:dyDescent="0.2">
      <c r="A12" s="5"/>
      <c r="B12" s="255">
        <v>5</v>
      </c>
      <c r="C12" s="256" t="s">
        <v>229</v>
      </c>
      <c r="D12" s="257" t="s">
        <v>342</v>
      </c>
      <c r="E12" s="257" t="s">
        <v>41</v>
      </c>
      <c r="F12" s="258">
        <v>15</v>
      </c>
      <c r="G12" s="137">
        <v>197.13300000000001</v>
      </c>
      <c r="H12" s="88">
        <f t="shared" si="0"/>
        <v>2957</v>
      </c>
      <c r="I12" s="113">
        <v>0</v>
      </c>
      <c r="J12" s="113">
        <f t="shared" si="1"/>
        <v>0</v>
      </c>
      <c r="K12" s="113">
        <f t="shared" si="2"/>
        <v>0</v>
      </c>
      <c r="L12" s="88">
        <f t="shared" si="3"/>
        <v>2957</v>
      </c>
      <c r="M12" s="92"/>
      <c r="N12" s="68">
        <f t="shared" si="4"/>
        <v>1478.5</v>
      </c>
    </row>
    <row r="13" spans="1:14" s="67" customFormat="1" ht="30" customHeight="1" x14ac:dyDescent="0.2">
      <c r="A13" s="5"/>
      <c r="B13" s="255">
        <v>6</v>
      </c>
      <c r="C13" s="256" t="s">
        <v>229</v>
      </c>
      <c r="D13" s="257" t="s">
        <v>289</v>
      </c>
      <c r="E13" s="257" t="s">
        <v>290</v>
      </c>
      <c r="F13" s="258">
        <v>15</v>
      </c>
      <c r="G13" s="137">
        <v>138.10599999999999</v>
      </c>
      <c r="H13" s="88">
        <v>2071.59</v>
      </c>
      <c r="I13" s="113">
        <v>0</v>
      </c>
      <c r="J13" s="113">
        <v>0</v>
      </c>
      <c r="K13" s="113">
        <v>0</v>
      </c>
      <c r="L13" s="88">
        <f t="shared" si="3"/>
        <v>2071.59</v>
      </c>
      <c r="M13" s="92"/>
      <c r="N13" s="68"/>
    </row>
    <row r="14" spans="1:14" s="67" customFormat="1" ht="30" customHeight="1" x14ac:dyDescent="0.2">
      <c r="A14" s="5"/>
      <c r="B14" s="255">
        <v>7</v>
      </c>
      <c r="C14" s="256" t="s">
        <v>229</v>
      </c>
      <c r="D14" s="257" t="s">
        <v>307</v>
      </c>
      <c r="E14" s="257" t="s">
        <v>42</v>
      </c>
      <c r="F14" s="258">
        <v>15</v>
      </c>
      <c r="G14" s="137">
        <v>193</v>
      </c>
      <c r="H14" s="88">
        <f t="shared" si="0"/>
        <v>2895</v>
      </c>
      <c r="I14" s="113">
        <v>0</v>
      </c>
      <c r="J14" s="113">
        <f t="shared" si="1"/>
        <v>0</v>
      </c>
      <c r="K14" s="113">
        <f t="shared" si="2"/>
        <v>0</v>
      </c>
      <c r="L14" s="88">
        <f t="shared" si="3"/>
        <v>2895</v>
      </c>
      <c r="M14" s="92"/>
      <c r="N14" s="68">
        <f t="shared" si="4"/>
        <v>1447.5</v>
      </c>
    </row>
    <row r="15" spans="1:14" s="67" customFormat="1" ht="30" customHeight="1" x14ac:dyDescent="0.2">
      <c r="A15" s="5"/>
      <c r="B15" s="255">
        <v>8</v>
      </c>
      <c r="C15" s="256" t="s">
        <v>229</v>
      </c>
      <c r="D15" s="257" t="s">
        <v>304</v>
      </c>
      <c r="E15" s="257" t="s">
        <v>305</v>
      </c>
      <c r="F15" s="258">
        <v>15</v>
      </c>
      <c r="G15" s="137">
        <v>227.06639999999999</v>
      </c>
      <c r="H15" s="88">
        <f>ROUND(F15*G15,2)</f>
        <v>3406</v>
      </c>
      <c r="I15" s="113">
        <v>0</v>
      </c>
      <c r="J15" s="113">
        <f>IF(G15&lt;=248.93,0,(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))</f>
        <v>0</v>
      </c>
      <c r="K15" s="113">
        <f>J15</f>
        <v>0</v>
      </c>
      <c r="L15" s="88">
        <f t="shared" si="3"/>
        <v>3406</v>
      </c>
      <c r="M15" s="92"/>
      <c r="N15" s="68">
        <f t="shared" si="4"/>
        <v>1703</v>
      </c>
    </row>
    <row r="16" spans="1:14" s="188" customFormat="1" ht="30" customHeight="1" x14ac:dyDescent="0.2">
      <c r="A16" s="28"/>
      <c r="B16" s="255"/>
      <c r="C16" s="256"/>
      <c r="D16" s="257"/>
      <c r="E16" s="310" t="s">
        <v>33</v>
      </c>
      <c r="F16" s="384"/>
      <c r="G16" s="385"/>
      <c r="H16" s="89">
        <f>SUM(H8:H15)</f>
        <v>27278.18</v>
      </c>
      <c r="I16" s="114">
        <f>SUM(I8:I15)</f>
        <v>0</v>
      </c>
      <c r="J16" s="89">
        <f>SUM(J8:J15)</f>
        <v>672.25</v>
      </c>
      <c r="K16" s="89">
        <f>SUM(K8:K15)</f>
        <v>672.25</v>
      </c>
      <c r="L16" s="89">
        <f>SUM(L8:L15)</f>
        <v>26605.93</v>
      </c>
      <c r="M16" s="93">
        <f>SUM(M8:M14)</f>
        <v>0</v>
      </c>
      <c r="N16" s="68"/>
    </row>
    <row r="17" spans="1:14" ht="30" customHeight="1" x14ac:dyDescent="0.2">
      <c r="B17" s="386" t="s">
        <v>71</v>
      </c>
      <c r="C17" s="387"/>
      <c r="D17" s="388"/>
      <c r="E17" s="388"/>
      <c r="F17" s="388"/>
      <c r="G17" s="388"/>
      <c r="H17" s="388"/>
      <c r="I17" s="388"/>
      <c r="J17" s="388"/>
      <c r="K17" s="388"/>
      <c r="L17" s="388"/>
      <c r="M17" s="389"/>
      <c r="N17" s="46"/>
    </row>
    <row r="18" spans="1:14" ht="30" customHeight="1" x14ac:dyDescent="0.2">
      <c r="B18" s="255">
        <v>9</v>
      </c>
      <c r="C18" s="256" t="s">
        <v>229</v>
      </c>
      <c r="D18" s="257" t="s">
        <v>314</v>
      </c>
      <c r="E18" s="257" t="s">
        <v>72</v>
      </c>
      <c r="F18" s="258">
        <v>15</v>
      </c>
      <c r="G18" s="311">
        <v>385.90499999999997</v>
      </c>
      <c r="H18" s="88">
        <f>ROUND(F18*G18,2)</f>
        <v>5788.58</v>
      </c>
      <c r="I18" s="113">
        <v>0</v>
      </c>
      <c r="J18" s="88">
        <f>IF(G18&lt;=248.93,0,(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))</f>
        <v>488.58</v>
      </c>
      <c r="K18" s="88">
        <f>J18</f>
        <v>488.58</v>
      </c>
      <c r="L18" s="88">
        <f>H18+I18-K18</f>
        <v>5300</v>
      </c>
      <c r="M18" s="259"/>
      <c r="N18" s="341">
        <f>L18/2</f>
        <v>2650</v>
      </c>
    </row>
    <row r="19" spans="1:14" ht="30" customHeight="1" x14ac:dyDescent="0.2">
      <c r="B19" s="255"/>
      <c r="C19" s="256"/>
      <c r="D19" s="257"/>
      <c r="E19" s="310" t="s">
        <v>33</v>
      </c>
      <c r="F19" s="384"/>
      <c r="G19" s="385"/>
      <c r="H19" s="89">
        <f t="shared" ref="H19:M19" si="5">+H18</f>
        <v>5788.58</v>
      </c>
      <c r="I19" s="114">
        <f t="shared" si="5"/>
        <v>0</v>
      </c>
      <c r="J19" s="89">
        <f t="shared" si="5"/>
        <v>488.58</v>
      </c>
      <c r="K19" s="89">
        <f t="shared" si="5"/>
        <v>488.58</v>
      </c>
      <c r="L19" s="89">
        <f t="shared" si="5"/>
        <v>5300</v>
      </c>
      <c r="M19" s="93">
        <f t="shared" si="5"/>
        <v>0</v>
      </c>
      <c r="N19" s="46"/>
    </row>
    <row r="20" spans="1:14" s="188" customFormat="1" ht="30" customHeight="1" x14ac:dyDescent="0.2">
      <c r="A20" s="28"/>
      <c r="B20" s="386" t="s">
        <v>34</v>
      </c>
      <c r="C20" s="387"/>
      <c r="D20" s="388"/>
      <c r="E20" s="388"/>
      <c r="F20" s="388"/>
      <c r="G20" s="388"/>
      <c r="H20" s="388"/>
      <c r="I20" s="388"/>
      <c r="J20" s="388"/>
      <c r="K20" s="388"/>
      <c r="L20" s="388"/>
      <c r="M20" s="389"/>
      <c r="N20" s="68"/>
    </row>
    <row r="21" spans="1:14" s="188" customFormat="1" ht="30" customHeight="1" x14ac:dyDescent="0.2">
      <c r="A21" s="28"/>
      <c r="B21" s="255">
        <v>10</v>
      </c>
      <c r="C21" s="256" t="s">
        <v>229</v>
      </c>
      <c r="D21" s="257" t="s">
        <v>343</v>
      </c>
      <c r="E21" s="257" t="s">
        <v>338</v>
      </c>
      <c r="F21" s="258">
        <v>15</v>
      </c>
      <c r="G21" s="311">
        <v>281.93299999999999</v>
      </c>
      <c r="H21" s="88">
        <f>ROUND(F21*G21,2)</f>
        <v>4229</v>
      </c>
      <c r="I21" s="113">
        <v>0</v>
      </c>
      <c r="J21" s="88">
        <f>IF(G21&lt;=248.93,0,(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))</f>
        <v>111.22</v>
      </c>
      <c r="K21" s="88">
        <f>J21</f>
        <v>111.22</v>
      </c>
      <c r="L21" s="88">
        <f>H21+I21-K21</f>
        <v>4117.78</v>
      </c>
      <c r="M21" s="92"/>
      <c r="N21" s="68">
        <f>L21/2</f>
        <v>2058.89</v>
      </c>
    </row>
    <row r="22" spans="1:14" s="189" customFormat="1" ht="30" customHeight="1" x14ac:dyDescent="0.2">
      <c r="A22" s="26"/>
      <c r="B22" s="255">
        <v>11</v>
      </c>
      <c r="C22" s="256" t="s">
        <v>229</v>
      </c>
      <c r="D22" s="257" t="s">
        <v>167</v>
      </c>
      <c r="E22" s="257" t="s">
        <v>108</v>
      </c>
      <c r="F22" s="258">
        <v>15</v>
      </c>
      <c r="G22" s="311">
        <v>367.58</v>
      </c>
      <c r="H22" s="88">
        <f>ROUND(F22*G22,2)</f>
        <v>5513.7</v>
      </c>
      <c r="I22" s="113">
        <v>0</v>
      </c>
      <c r="J22" s="88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444.6</v>
      </c>
      <c r="K22" s="88">
        <f>J22</f>
        <v>444.6</v>
      </c>
      <c r="L22" s="88">
        <f>H22+I22-K22</f>
        <v>5069.0999999999995</v>
      </c>
      <c r="M22" s="92"/>
      <c r="N22" s="68">
        <f t="shared" ref="N22:N23" si="6">L22/2</f>
        <v>2534.5499999999997</v>
      </c>
    </row>
    <row r="23" spans="1:14" s="189" customFormat="1" ht="30" customHeight="1" x14ac:dyDescent="0.2">
      <c r="A23" s="26"/>
      <c r="B23" s="255">
        <v>12</v>
      </c>
      <c r="C23" s="256" t="s">
        <v>229</v>
      </c>
      <c r="D23" s="257" t="s">
        <v>232</v>
      </c>
      <c r="E23" s="257" t="s">
        <v>337</v>
      </c>
      <c r="F23" s="258">
        <v>15</v>
      </c>
      <c r="G23" s="311">
        <v>348.67</v>
      </c>
      <c r="H23" s="88">
        <f>ROUND(F23*G23,2)</f>
        <v>5230.05</v>
      </c>
      <c r="I23" s="113">
        <v>0</v>
      </c>
      <c r="J23" s="8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412.57</v>
      </c>
      <c r="K23" s="88">
        <f>J23</f>
        <v>412.57</v>
      </c>
      <c r="L23" s="88">
        <f>H23+I23-K23</f>
        <v>4817.4800000000005</v>
      </c>
      <c r="M23" s="92"/>
      <c r="N23" s="68">
        <f t="shared" si="6"/>
        <v>2408.7400000000002</v>
      </c>
    </row>
    <row r="24" spans="1:14" s="189" customFormat="1" ht="30" customHeight="1" x14ac:dyDescent="0.2">
      <c r="A24" s="26"/>
      <c r="B24" s="312"/>
      <c r="C24" s="313"/>
      <c r="D24" s="314"/>
      <c r="E24" s="310" t="s">
        <v>33</v>
      </c>
      <c r="F24" s="384"/>
      <c r="G24" s="385"/>
      <c r="H24" s="89">
        <f>SUM(H21:H23)</f>
        <v>14972.75</v>
      </c>
      <c r="I24" s="114">
        <f>SUM(I21:I23)</f>
        <v>0</v>
      </c>
      <c r="J24" s="89">
        <f>SUM(J21:J23)</f>
        <v>968.3900000000001</v>
      </c>
      <c r="K24" s="89">
        <f>SUM(K21:K23)</f>
        <v>968.3900000000001</v>
      </c>
      <c r="L24" s="89">
        <f>SUM(L21:L23)</f>
        <v>14004.36</v>
      </c>
      <c r="M24" s="93"/>
      <c r="N24" s="69"/>
    </row>
    <row r="25" spans="1:14" s="188" customFormat="1" ht="30" customHeight="1" x14ac:dyDescent="0.2">
      <c r="A25" s="28"/>
      <c r="B25" s="386" t="s">
        <v>36</v>
      </c>
      <c r="C25" s="387"/>
      <c r="D25" s="388"/>
      <c r="E25" s="388"/>
      <c r="F25" s="388"/>
      <c r="G25" s="388"/>
      <c r="H25" s="388"/>
      <c r="I25" s="388"/>
      <c r="J25" s="388"/>
      <c r="K25" s="388"/>
      <c r="L25" s="388"/>
      <c r="M25" s="389"/>
      <c r="N25" s="68"/>
    </row>
    <row r="26" spans="1:14" ht="30" customHeight="1" x14ac:dyDescent="0.2">
      <c r="B26" s="255">
        <v>13</v>
      </c>
      <c r="C26" s="256" t="s">
        <v>229</v>
      </c>
      <c r="D26" s="257" t="s">
        <v>119</v>
      </c>
      <c r="E26" s="257" t="s">
        <v>54</v>
      </c>
      <c r="F26" s="258">
        <v>15</v>
      </c>
      <c r="G26" s="137">
        <v>295.733</v>
      </c>
      <c r="H26" s="88">
        <f>ROUND(F26*G26,2)</f>
        <v>4436</v>
      </c>
      <c r="I26" s="113">
        <v>0</v>
      </c>
      <c r="J26" s="8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133.74</v>
      </c>
      <c r="K26" s="88">
        <f>J26</f>
        <v>133.74</v>
      </c>
      <c r="L26" s="88">
        <f>H26+I26-K26</f>
        <v>4302.26</v>
      </c>
      <c r="M26" s="92"/>
      <c r="N26" s="341">
        <f>L26/2</f>
        <v>2151.13</v>
      </c>
    </row>
    <row r="27" spans="1:14" ht="30" customHeight="1" x14ac:dyDescent="0.2">
      <c r="B27" s="255">
        <v>14</v>
      </c>
      <c r="C27" s="256" t="s">
        <v>229</v>
      </c>
      <c r="D27" s="257" t="s">
        <v>300</v>
      </c>
      <c r="E27" s="257" t="s">
        <v>81</v>
      </c>
      <c r="F27" s="258">
        <v>15</v>
      </c>
      <c r="G27" s="137">
        <v>197.2</v>
      </c>
      <c r="H27" s="88">
        <f>ROUND(F27*G27,2)</f>
        <v>2958</v>
      </c>
      <c r="I27" s="113">
        <v>0</v>
      </c>
      <c r="J27" s="113">
        <f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113">
        <f>J27</f>
        <v>0</v>
      </c>
      <c r="L27" s="88">
        <f>H27+I27-K27</f>
        <v>2958</v>
      </c>
      <c r="M27" s="92"/>
      <c r="N27" s="341">
        <f t="shared" ref="N27:N30" si="7">L27/2</f>
        <v>1479</v>
      </c>
    </row>
    <row r="28" spans="1:14" ht="30" customHeight="1" x14ac:dyDescent="0.2">
      <c r="B28" s="255">
        <v>15</v>
      </c>
      <c r="C28" s="256" t="s">
        <v>346</v>
      </c>
      <c r="D28" s="257" t="s">
        <v>120</v>
      </c>
      <c r="E28" s="257" t="s">
        <v>42</v>
      </c>
      <c r="F28" s="258">
        <v>15</v>
      </c>
      <c r="G28" s="137">
        <v>153.333</v>
      </c>
      <c r="H28" s="88">
        <f>ROUND(F28*G28,2)</f>
        <v>2300</v>
      </c>
      <c r="I28" s="113">
        <v>0</v>
      </c>
      <c r="J28" s="113">
        <f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0</v>
      </c>
      <c r="K28" s="113">
        <f>J28</f>
        <v>0</v>
      </c>
      <c r="L28" s="88">
        <f>H28+I28-K28</f>
        <v>2300</v>
      </c>
      <c r="M28" s="92"/>
      <c r="N28" s="341"/>
    </row>
    <row r="29" spans="1:14" ht="30" customHeight="1" x14ac:dyDescent="0.2">
      <c r="B29" s="255">
        <v>16</v>
      </c>
      <c r="C29" s="256" t="s">
        <v>229</v>
      </c>
      <c r="D29" s="257" t="s">
        <v>165</v>
      </c>
      <c r="E29" s="257" t="s">
        <v>166</v>
      </c>
      <c r="F29" s="258">
        <v>15</v>
      </c>
      <c r="G29" s="137">
        <v>466.33300000000003</v>
      </c>
      <c r="H29" s="88">
        <f>ROUND(F29*G29,2)</f>
        <v>6995</v>
      </c>
      <c r="I29" s="113">
        <v>0</v>
      </c>
      <c r="J29" s="8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693.36</v>
      </c>
      <c r="K29" s="88">
        <f>J29</f>
        <v>693.36</v>
      </c>
      <c r="L29" s="88">
        <f>H29+I29-K29</f>
        <v>6301.64</v>
      </c>
      <c r="M29" s="92"/>
      <c r="N29" s="341">
        <f t="shared" si="7"/>
        <v>3150.82</v>
      </c>
    </row>
    <row r="30" spans="1:14" ht="30" customHeight="1" x14ac:dyDescent="0.2">
      <c r="B30" s="255">
        <v>17</v>
      </c>
      <c r="C30" s="256" t="s">
        <v>229</v>
      </c>
      <c r="D30" s="257" t="s">
        <v>285</v>
      </c>
      <c r="E30" s="257" t="s">
        <v>42</v>
      </c>
      <c r="F30" s="258">
        <v>15</v>
      </c>
      <c r="G30" s="137">
        <v>223.333</v>
      </c>
      <c r="H30" s="88">
        <f>ROUND(F30*G30,2)</f>
        <v>3350</v>
      </c>
      <c r="I30" s="113">
        <v>0</v>
      </c>
      <c r="J30" s="113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13">
        <f>J30</f>
        <v>0</v>
      </c>
      <c r="L30" s="88">
        <f>H30+I30-K30</f>
        <v>3350</v>
      </c>
      <c r="M30" s="92"/>
      <c r="N30" s="341">
        <f t="shared" si="7"/>
        <v>1675</v>
      </c>
    </row>
    <row r="31" spans="1:14" ht="30" customHeight="1" x14ac:dyDescent="0.2">
      <c r="B31" s="255"/>
      <c r="C31" s="256"/>
      <c r="D31" s="257"/>
      <c r="E31" s="310" t="s">
        <v>33</v>
      </c>
      <c r="F31" s="384"/>
      <c r="G31" s="385"/>
      <c r="H31" s="89">
        <f>SUM(H26:H30)</f>
        <v>20039</v>
      </c>
      <c r="I31" s="114">
        <f>SUM(I26:I30)</f>
        <v>0</v>
      </c>
      <c r="J31" s="89">
        <f>SUM(J26:J30)</f>
        <v>827.1</v>
      </c>
      <c r="K31" s="89">
        <f>SUM(K26:K30)</f>
        <v>827.1</v>
      </c>
      <c r="L31" s="89">
        <f>SUM(L26:L30)</f>
        <v>19211.900000000001</v>
      </c>
      <c r="M31" s="93">
        <f>SUM(M26:M29)</f>
        <v>0</v>
      </c>
      <c r="N31" s="46"/>
    </row>
    <row r="32" spans="1:14" ht="30" customHeight="1" x14ac:dyDescent="0.2">
      <c r="B32" s="386" t="s">
        <v>39</v>
      </c>
      <c r="C32" s="387"/>
      <c r="D32" s="388"/>
      <c r="E32" s="388"/>
      <c r="F32" s="388"/>
      <c r="G32" s="388"/>
      <c r="H32" s="388"/>
      <c r="I32" s="388"/>
      <c r="J32" s="388"/>
      <c r="K32" s="388"/>
      <c r="L32" s="388"/>
      <c r="M32" s="389"/>
      <c r="N32" s="46"/>
    </row>
    <row r="33" spans="2:14" ht="30" customHeight="1" x14ac:dyDescent="0.2">
      <c r="B33" s="255">
        <v>18</v>
      </c>
      <c r="C33" s="256" t="s">
        <v>346</v>
      </c>
      <c r="D33" s="257" t="s">
        <v>248</v>
      </c>
      <c r="E33" s="257" t="s">
        <v>42</v>
      </c>
      <c r="F33" s="258">
        <v>15</v>
      </c>
      <c r="G33" s="137">
        <v>111.819</v>
      </c>
      <c r="H33" s="88">
        <f t="shared" ref="H33:H38" si="8">ROUND(F33*G33,2)</f>
        <v>1677.29</v>
      </c>
      <c r="I33" s="113">
        <v>0</v>
      </c>
      <c r="J33" s="113">
        <f t="shared" ref="J33:J38" si="9"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0</v>
      </c>
      <c r="K33" s="113">
        <f t="shared" ref="K33:K38" si="10">J33</f>
        <v>0</v>
      </c>
      <c r="L33" s="88">
        <f t="shared" ref="L33:L38" si="11">H33+I33-K33</f>
        <v>1677.29</v>
      </c>
      <c r="M33" s="92"/>
      <c r="N33" s="341"/>
    </row>
    <row r="34" spans="2:14" ht="30" customHeight="1" x14ac:dyDescent="0.2">
      <c r="B34" s="255">
        <v>19</v>
      </c>
      <c r="C34" s="256" t="s">
        <v>346</v>
      </c>
      <c r="D34" s="257" t="s">
        <v>121</v>
      </c>
      <c r="E34" s="257" t="s">
        <v>42</v>
      </c>
      <c r="F34" s="258">
        <v>15</v>
      </c>
      <c r="G34" s="137">
        <v>130.49299999999999</v>
      </c>
      <c r="H34" s="88">
        <f t="shared" si="8"/>
        <v>1957.4</v>
      </c>
      <c r="I34" s="113">
        <v>0</v>
      </c>
      <c r="J34" s="113">
        <f t="shared" si="9"/>
        <v>0</v>
      </c>
      <c r="K34" s="113">
        <f t="shared" si="10"/>
        <v>0</v>
      </c>
      <c r="L34" s="88">
        <f t="shared" si="11"/>
        <v>1957.4</v>
      </c>
      <c r="M34" s="92"/>
      <c r="N34" s="341"/>
    </row>
    <row r="35" spans="2:14" ht="30" customHeight="1" x14ac:dyDescent="0.2">
      <c r="B35" s="255">
        <v>20</v>
      </c>
      <c r="C35" s="256" t="s">
        <v>346</v>
      </c>
      <c r="D35" s="257" t="s">
        <v>122</v>
      </c>
      <c r="E35" s="257" t="s">
        <v>49</v>
      </c>
      <c r="F35" s="258">
        <v>15</v>
      </c>
      <c r="G35" s="137">
        <v>154.52440000000001</v>
      </c>
      <c r="H35" s="88">
        <f t="shared" si="8"/>
        <v>2317.87</v>
      </c>
      <c r="I35" s="113">
        <v>0</v>
      </c>
      <c r="J35" s="113">
        <f t="shared" si="9"/>
        <v>0</v>
      </c>
      <c r="K35" s="113">
        <f t="shared" si="10"/>
        <v>0</v>
      </c>
      <c r="L35" s="88">
        <f t="shared" si="11"/>
        <v>2317.87</v>
      </c>
      <c r="M35" s="92"/>
      <c r="N35" s="341"/>
    </row>
    <row r="36" spans="2:14" ht="30" customHeight="1" x14ac:dyDescent="0.2">
      <c r="B36" s="255">
        <v>21</v>
      </c>
      <c r="C36" s="256" t="s">
        <v>346</v>
      </c>
      <c r="D36" s="257" t="s">
        <v>326</v>
      </c>
      <c r="E36" s="257" t="s">
        <v>169</v>
      </c>
      <c r="F36" s="258">
        <v>15</v>
      </c>
      <c r="G36" s="137">
        <v>170.73330000000001</v>
      </c>
      <c r="H36" s="88">
        <f t="shared" si="8"/>
        <v>2561</v>
      </c>
      <c r="I36" s="113">
        <v>0</v>
      </c>
      <c r="J36" s="113">
        <f t="shared" si="9"/>
        <v>0</v>
      </c>
      <c r="K36" s="113">
        <f t="shared" si="10"/>
        <v>0</v>
      </c>
      <c r="L36" s="88">
        <f t="shared" si="11"/>
        <v>2561</v>
      </c>
      <c r="M36" s="92"/>
      <c r="N36" s="341"/>
    </row>
    <row r="37" spans="2:14" ht="30" customHeight="1" x14ac:dyDescent="0.2">
      <c r="B37" s="255">
        <v>22</v>
      </c>
      <c r="C37" s="256" t="s">
        <v>229</v>
      </c>
      <c r="D37" s="257" t="s">
        <v>283</v>
      </c>
      <c r="E37" s="257" t="s">
        <v>169</v>
      </c>
      <c r="F37" s="258">
        <v>15</v>
      </c>
      <c r="G37" s="137">
        <v>186.26650000000001</v>
      </c>
      <c r="H37" s="88">
        <f t="shared" si="8"/>
        <v>2794</v>
      </c>
      <c r="I37" s="113">
        <v>0</v>
      </c>
      <c r="J37" s="113">
        <f t="shared" si="9"/>
        <v>0</v>
      </c>
      <c r="K37" s="113">
        <f t="shared" si="10"/>
        <v>0</v>
      </c>
      <c r="L37" s="88">
        <f t="shared" si="11"/>
        <v>2794</v>
      </c>
      <c r="M37" s="92"/>
      <c r="N37" s="341">
        <f t="shared" ref="N37:N38" si="12">L37/2</f>
        <v>1397</v>
      </c>
    </row>
    <row r="38" spans="2:14" ht="30" customHeight="1" x14ac:dyDescent="0.2">
      <c r="B38" s="255">
        <v>23</v>
      </c>
      <c r="C38" s="256" t="s">
        <v>229</v>
      </c>
      <c r="D38" s="257" t="s">
        <v>308</v>
      </c>
      <c r="E38" s="257" t="s">
        <v>169</v>
      </c>
      <c r="F38" s="258">
        <v>15</v>
      </c>
      <c r="G38" s="137">
        <v>180</v>
      </c>
      <c r="H38" s="88">
        <f t="shared" si="8"/>
        <v>2700</v>
      </c>
      <c r="I38" s="113">
        <v>0</v>
      </c>
      <c r="J38" s="113">
        <f t="shared" si="9"/>
        <v>0</v>
      </c>
      <c r="K38" s="113">
        <f t="shared" si="10"/>
        <v>0</v>
      </c>
      <c r="L38" s="88">
        <f t="shared" si="11"/>
        <v>2700</v>
      </c>
      <c r="M38" s="92"/>
      <c r="N38" s="341">
        <f t="shared" si="12"/>
        <v>1350</v>
      </c>
    </row>
    <row r="39" spans="2:14" ht="30" customHeight="1" x14ac:dyDescent="0.2">
      <c r="B39" s="255"/>
      <c r="C39" s="256"/>
      <c r="D39" s="257"/>
      <c r="E39" s="310" t="s">
        <v>33</v>
      </c>
      <c r="F39" s="384"/>
      <c r="G39" s="385"/>
      <c r="H39" s="89">
        <f>SUM(H33:H38)</f>
        <v>14007.56</v>
      </c>
      <c r="I39" s="114">
        <f>SUM(I33:I38)</f>
        <v>0</v>
      </c>
      <c r="J39" s="114">
        <f>SUM(J33:J38)</f>
        <v>0</v>
      </c>
      <c r="K39" s="114">
        <f>SUM(K33:K38)</f>
        <v>0</v>
      </c>
      <c r="L39" s="89">
        <f>SUM(L33:L38)</f>
        <v>14007.56</v>
      </c>
      <c r="M39" s="93">
        <f>SUM(M33:M36)</f>
        <v>0</v>
      </c>
      <c r="N39" s="46"/>
    </row>
    <row r="40" spans="2:14" ht="30" customHeight="1" x14ac:dyDescent="0.2">
      <c r="B40" s="386" t="s">
        <v>43</v>
      </c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9"/>
      <c r="N40" s="46"/>
    </row>
    <row r="41" spans="2:14" ht="30" customHeight="1" x14ac:dyDescent="0.2">
      <c r="B41" s="255">
        <v>24</v>
      </c>
      <c r="C41" s="256" t="s">
        <v>346</v>
      </c>
      <c r="D41" s="257" t="s">
        <v>123</v>
      </c>
      <c r="E41" s="257" t="s">
        <v>55</v>
      </c>
      <c r="F41" s="258">
        <v>15</v>
      </c>
      <c r="G41" s="137">
        <v>133.613</v>
      </c>
      <c r="H41" s="88">
        <f>ROUND(F41*G41,2)</f>
        <v>2004.2</v>
      </c>
      <c r="I41" s="113">
        <v>0</v>
      </c>
      <c r="J41" s="113">
        <f t="shared" ref="J41:J52" si="13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13">
        <f t="shared" ref="K41:K50" si="14">J41</f>
        <v>0</v>
      </c>
      <c r="L41" s="88">
        <f t="shared" ref="L41:L50" si="15">H41+I41-K41</f>
        <v>2004.2</v>
      </c>
      <c r="M41" s="92"/>
      <c r="N41" s="341"/>
    </row>
    <row r="42" spans="2:14" ht="30" customHeight="1" x14ac:dyDescent="0.2">
      <c r="B42" s="255">
        <v>25</v>
      </c>
      <c r="C42" s="256" t="s">
        <v>346</v>
      </c>
      <c r="D42" s="257" t="s">
        <v>124</v>
      </c>
      <c r="E42" s="257" t="s">
        <v>56</v>
      </c>
      <c r="F42" s="258">
        <v>15</v>
      </c>
      <c r="G42" s="137">
        <v>162.04499999999999</v>
      </c>
      <c r="H42" s="88">
        <f t="shared" ref="H42:H47" si="16">ROUND(F42*G42,2)</f>
        <v>2430.6799999999998</v>
      </c>
      <c r="I42" s="113">
        <v>0</v>
      </c>
      <c r="J42" s="113">
        <f t="shared" si="13"/>
        <v>0</v>
      </c>
      <c r="K42" s="113">
        <f t="shared" si="14"/>
        <v>0</v>
      </c>
      <c r="L42" s="88">
        <f t="shared" si="15"/>
        <v>2430.6799999999998</v>
      </c>
      <c r="M42" s="92"/>
      <c r="N42" s="341"/>
    </row>
    <row r="43" spans="2:14" ht="30" customHeight="1" x14ac:dyDescent="0.2">
      <c r="B43" s="255">
        <v>26</v>
      </c>
      <c r="C43" s="256" t="s">
        <v>229</v>
      </c>
      <c r="D43" s="257" t="s">
        <v>125</v>
      </c>
      <c r="E43" s="257" t="s">
        <v>51</v>
      </c>
      <c r="F43" s="258">
        <v>15</v>
      </c>
      <c r="G43" s="137">
        <v>220.8</v>
      </c>
      <c r="H43" s="88">
        <f t="shared" si="16"/>
        <v>3312</v>
      </c>
      <c r="I43" s="113">
        <v>0</v>
      </c>
      <c r="J43" s="113">
        <f t="shared" si="13"/>
        <v>0</v>
      </c>
      <c r="K43" s="113">
        <f t="shared" si="14"/>
        <v>0</v>
      </c>
      <c r="L43" s="88">
        <f t="shared" si="15"/>
        <v>3312</v>
      </c>
      <c r="M43" s="92"/>
      <c r="N43" s="341">
        <f t="shared" ref="N43:N51" si="17">L43/2</f>
        <v>1656</v>
      </c>
    </row>
    <row r="44" spans="2:14" ht="30" customHeight="1" x14ac:dyDescent="0.2">
      <c r="B44" s="255">
        <v>27</v>
      </c>
      <c r="C44" s="256" t="s">
        <v>346</v>
      </c>
      <c r="D44" s="257" t="s">
        <v>164</v>
      </c>
      <c r="E44" s="257" t="s">
        <v>62</v>
      </c>
      <c r="F44" s="258">
        <v>15</v>
      </c>
      <c r="G44" s="137">
        <v>137.482</v>
      </c>
      <c r="H44" s="88">
        <f t="shared" si="16"/>
        <v>2062.23</v>
      </c>
      <c r="I44" s="113">
        <v>0</v>
      </c>
      <c r="J44" s="113">
        <f t="shared" si="13"/>
        <v>0</v>
      </c>
      <c r="K44" s="113">
        <f t="shared" si="14"/>
        <v>0</v>
      </c>
      <c r="L44" s="88">
        <f t="shared" si="15"/>
        <v>2062.23</v>
      </c>
      <c r="M44" s="92"/>
      <c r="N44" s="341"/>
    </row>
    <row r="45" spans="2:14" ht="30" customHeight="1" x14ac:dyDescent="0.2">
      <c r="B45" s="255">
        <v>28</v>
      </c>
      <c r="C45" s="256" t="s">
        <v>229</v>
      </c>
      <c r="D45" s="257" t="s">
        <v>445</v>
      </c>
      <c r="E45" s="257" t="s">
        <v>51</v>
      </c>
      <c r="F45" s="258">
        <v>15</v>
      </c>
      <c r="G45" s="137">
        <v>220.8</v>
      </c>
      <c r="H45" s="88">
        <f>ROUND(F45*G45,2)</f>
        <v>3312</v>
      </c>
      <c r="I45" s="113">
        <v>0</v>
      </c>
      <c r="J45" s="113">
        <f t="shared" si="13"/>
        <v>0</v>
      </c>
      <c r="K45" s="113">
        <f t="shared" si="14"/>
        <v>0</v>
      </c>
      <c r="L45" s="88">
        <f>H45+I45-K45</f>
        <v>3312</v>
      </c>
      <c r="M45" s="92"/>
      <c r="N45" s="341">
        <f t="shared" si="17"/>
        <v>1656</v>
      </c>
    </row>
    <row r="46" spans="2:14" ht="30" customHeight="1" x14ac:dyDescent="0.2">
      <c r="B46" s="255">
        <v>29</v>
      </c>
      <c r="C46" s="256" t="s">
        <v>346</v>
      </c>
      <c r="D46" s="257" t="s">
        <v>126</v>
      </c>
      <c r="E46" s="257" t="s">
        <v>86</v>
      </c>
      <c r="F46" s="258">
        <v>15</v>
      </c>
      <c r="G46" s="137">
        <v>92.356999999999999</v>
      </c>
      <c r="H46" s="88">
        <f t="shared" si="16"/>
        <v>1385.36</v>
      </c>
      <c r="I46" s="113">
        <v>0</v>
      </c>
      <c r="J46" s="113">
        <f t="shared" si="13"/>
        <v>0</v>
      </c>
      <c r="K46" s="113">
        <f t="shared" si="14"/>
        <v>0</v>
      </c>
      <c r="L46" s="88">
        <f t="shared" si="15"/>
        <v>1385.36</v>
      </c>
      <c r="M46" s="92"/>
      <c r="N46" s="341"/>
    </row>
    <row r="47" spans="2:14" ht="30" customHeight="1" x14ac:dyDescent="0.2">
      <c r="B47" s="255">
        <v>30</v>
      </c>
      <c r="C47" s="256" t="s">
        <v>346</v>
      </c>
      <c r="D47" s="257" t="s">
        <v>127</v>
      </c>
      <c r="E47" s="257" t="s">
        <v>51</v>
      </c>
      <c r="F47" s="258">
        <v>15</v>
      </c>
      <c r="G47" s="137">
        <v>91.108999999999995</v>
      </c>
      <c r="H47" s="88">
        <f t="shared" si="16"/>
        <v>1366.64</v>
      </c>
      <c r="I47" s="113">
        <v>0</v>
      </c>
      <c r="J47" s="113">
        <f t="shared" si="13"/>
        <v>0</v>
      </c>
      <c r="K47" s="113">
        <f t="shared" si="14"/>
        <v>0</v>
      </c>
      <c r="L47" s="88">
        <f t="shared" si="15"/>
        <v>1366.64</v>
      </c>
      <c r="M47" s="92"/>
      <c r="N47" s="341"/>
    </row>
    <row r="48" spans="2:14" ht="30" customHeight="1" x14ac:dyDescent="0.2">
      <c r="B48" s="255">
        <v>31</v>
      </c>
      <c r="C48" s="256" t="s">
        <v>229</v>
      </c>
      <c r="D48" s="257" t="s">
        <v>116</v>
      </c>
      <c r="E48" s="257" t="s">
        <v>51</v>
      </c>
      <c r="F48" s="258">
        <v>15</v>
      </c>
      <c r="G48" s="137">
        <v>220.8</v>
      </c>
      <c r="H48" s="88">
        <f t="shared" ref="H48:H56" si="18">ROUND(F48*G48,2)</f>
        <v>3312</v>
      </c>
      <c r="I48" s="113">
        <v>0</v>
      </c>
      <c r="J48" s="113">
        <f t="shared" si="13"/>
        <v>0</v>
      </c>
      <c r="K48" s="113">
        <f t="shared" si="14"/>
        <v>0</v>
      </c>
      <c r="L48" s="88">
        <f t="shared" si="15"/>
        <v>3312</v>
      </c>
      <c r="M48" s="92"/>
      <c r="N48" s="341">
        <f t="shared" si="17"/>
        <v>1656</v>
      </c>
    </row>
    <row r="49" spans="2:14" ht="30" customHeight="1" x14ac:dyDescent="0.2">
      <c r="B49" s="255">
        <v>32</v>
      </c>
      <c r="C49" s="256" t="s">
        <v>229</v>
      </c>
      <c r="D49" s="257" t="s">
        <v>115</v>
      </c>
      <c r="E49" s="257" t="s">
        <v>51</v>
      </c>
      <c r="F49" s="258">
        <v>15</v>
      </c>
      <c r="G49" s="137">
        <v>220.8</v>
      </c>
      <c r="H49" s="88">
        <f t="shared" si="18"/>
        <v>3312</v>
      </c>
      <c r="I49" s="113">
        <v>0</v>
      </c>
      <c r="J49" s="113">
        <f t="shared" si="13"/>
        <v>0</v>
      </c>
      <c r="K49" s="113">
        <f t="shared" si="14"/>
        <v>0</v>
      </c>
      <c r="L49" s="88">
        <f t="shared" si="15"/>
        <v>3312</v>
      </c>
      <c r="M49" s="92"/>
      <c r="N49" s="341">
        <f t="shared" si="17"/>
        <v>1656</v>
      </c>
    </row>
    <row r="50" spans="2:14" ht="30" customHeight="1" x14ac:dyDescent="0.2">
      <c r="B50" s="255">
        <v>33</v>
      </c>
      <c r="C50" s="256" t="s">
        <v>229</v>
      </c>
      <c r="D50" s="257" t="s">
        <v>291</v>
      </c>
      <c r="E50" s="257" t="s">
        <v>51</v>
      </c>
      <c r="F50" s="258">
        <v>15</v>
      </c>
      <c r="G50" s="137">
        <v>220.8</v>
      </c>
      <c r="H50" s="88">
        <f t="shared" si="18"/>
        <v>3312</v>
      </c>
      <c r="I50" s="113">
        <v>0</v>
      </c>
      <c r="J50" s="113">
        <f t="shared" si="13"/>
        <v>0</v>
      </c>
      <c r="K50" s="113">
        <f t="shared" si="14"/>
        <v>0</v>
      </c>
      <c r="L50" s="88">
        <f t="shared" si="15"/>
        <v>3312</v>
      </c>
      <c r="M50" s="92"/>
      <c r="N50" s="341">
        <f t="shared" si="17"/>
        <v>1656</v>
      </c>
    </row>
    <row r="51" spans="2:14" ht="30" customHeight="1" x14ac:dyDescent="0.2">
      <c r="B51" s="255">
        <v>34</v>
      </c>
      <c r="C51" s="256" t="s">
        <v>229</v>
      </c>
      <c r="D51" s="257" t="s">
        <v>286</v>
      </c>
      <c r="E51" s="257" t="s">
        <v>51</v>
      </c>
      <c r="F51" s="258">
        <v>15</v>
      </c>
      <c r="G51" s="137">
        <v>220.8</v>
      </c>
      <c r="H51" s="88">
        <f t="shared" si="18"/>
        <v>3312</v>
      </c>
      <c r="I51" s="113">
        <v>0</v>
      </c>
      <c r="J51" s="113">
        <f>IF(G51&lt;=248.93,0,(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))</f>
        <v>0</v>
      </c>
      <c r="K51" s="113">
        <f>J51</f>
        <v>0</v>
      </c>
      <c r="L51" s="88">
        <f t="shared" ref="L51:L56" si="19">H51+I51-K51</f>
        <v>3312</v>
      </c>
      <c r="M51" s="92"/>
      <c r="N51" s="341">
        <f t="shared" si="17"/>
        <v>1656</v>
      </c>
    </row>
    <row r="52" spans="2:14" ht="30" customHeight="1" x14ac:dyDescent="0.2">
      <c r="B52" s="255">
        <v>35</v>
      </c>
      <c r="C52" s="256" t="s">
        <v>346</v>
      </c>
      <c r="D52" s="257" t="s">
        <v>237</v>
      </c>
      <c r="E52" s="257" t="s">
        <v>238</v>
      </c>
      <c r="F52" s="258">
        <v>15</v>
      </c>
      <c r="G52" s="137">
        <v>166.101</v>
      </c>
      <c r="H52" s="88">
        <f t="shared" si="18"/>
        <v>2491.52</v>
      </c>
      <c r="I52" s="113">
        <v>0</v>
      </c>
      <c r="J52" s="113">
        <f t="shared" si="13"/>
        <v>0</v>
      </c>
      <c r="K52" s="113">
        <v>0</v>
      </c>
      <c r="L52" s="88">
        <f t="shared" si="19"/>
        <v>2491.52</v>
      </c>
      <c r="M52" s="92"/>
      <c r="N52" s="341"/>
    </row>
    <row r="53" spans="2:14" ht="30" customHeight="1" x14ac:dyDescent="0.2">
      <c r="B53" s="255">
        <v>36</v>
      </c>
      <c r="C53" s="256" t="s">
        <v>346</v>
      </c>
      <c r="D53" s="257" t="s">
        <v>284</v>
      </c>
      <c r="E53" s="257" t="s">
        <v>62</v>
      </c>
      <c r="F53" s="258">
        <v>15</v>
      </c>
      <c r="G53" s="137">
        <v>151.03</v>
      </c>
      <c r="H53" s="88">
        <f t="shared" si="18"/>
        <v>2265.4499999999998</v>
      </c>
      <c r="I53" s="113">
        <v>0</v>
      </c>
      <c r="J53" s="113">
        <f>IF(G53&lt;=248.93,0,(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))</f>
        <v>0</v>
      </c>
      <c r="K53" s="113">
        <v>0</v>
      </c>
      <c r="L53" s="88">
        <f t="shared" si="19"/>
        <v>2265.4499999999998</v>
      </c>
      <c r="M53" s="92"/>
      <c r="N53" s="341"/>
    </row>
    <row r="54" spans="2:14" ht="30" customHeight="1" x14ac:dyDescent="0.2">
      <c r="B54" s="255">
        <v>37</v>
      </c>
      <c r="C54" s="256" t="s">
        <v>346</v>
      </c>
      <c r="D54" s="257" t="s">
        <v>299</v>
      </c>
      <c r="E54" s="257" t="s">
        <v>62</v>
      </c>
      <c r="F54" s="258">
        <v>15</v>
      </c>
      <c r="G54" s="137">
        <v>151.03</v>
      </c>
      <c r="H54" s="88">
        <f t="shared" si="18"/>
        <v>2265.4499999999998</v>
      </c>
      <c r="I54" s="113">
        <v>0</v>
      </c>
      <c r="J54" s="113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0</v>
      </c>
      <c r="K54" s="113">
        <v>0</v>
      </c>
      <c r="L54" s="88">
        <f t="shared" si="19"/>
        <v>2265.4499999999998</v>
      </c>
      <c r="M54" s="92"/>
      <c r="N54" s="341"/>
    </row>
    <row r="55" spans="2:14" ht="30" customHeight="1" x14ac:dyDescent="0.2">
      <c r="B55" s="255">
        <v>38</v>
      </c>
      <c r="C55" s="256" t="s">
        <v>346</v>
      </c>
      <c r="D55" s="257" t="s">
        <v>303</v>
      </c>
      <c r="E55" s="257" t="s">
        <v>62</v>
      </c>
      <c r="F55" s="258">
        <v>15</v>
      </c>
      <c r="G55" s="137">
        <v>160</v>
      </c>
      <c r="H55" s="88">
        <f t="shared" si="18"/>
        <v>2400</v>
      </c>
      <c r="I55" s="113">
        <v>0</v>
      </c>
      <c r="J55" s="113">
        <f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0</v>
      </c>
      <c r="K55" s="113">
        <v>0</v>
      </c>
      <c r="L55" s="88">
        <f t="shared" si="19"/>
        <v>2400</v>
      </c>
      <c r="M55" s="92"/>
      <c r="N55" s="341"/>
    </row>
    <row r="56" spans="2:14" ht="30" customHeight="1" x14ac:dyDescent="0.2">
      <c r="B56" s="255">
        <v>39</v>
      </c>
      <c r="C56" s="256" t="s">
        <v>229</v>
      </c>
      <c r="D56" s="257" t="s">
        <v>302</v>
      </c>
      <c r="E56" s="257" t="s">
        <v>295</v>
      </c>
      <c r="F56" s="258">
        <v>15</v>
      </c>
      <c r="G56" s="137">
        <v>113.94058</v>
      </c>
      <c r="H56" s="88">
        <f t="shared" si="18"/>
        <v>1709.11</v>
      </c>
      <c r="I56" s="113">
        <v>0</v>
      </c>
      <c r="J56" s="113">
        <f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13">
        <v>0</v>
      </c>
      <c r="L56" s="88">
        <f t="shared" si="19"/>
        <v>1709.11</v>
      </c>
      <c r="M56" s="92"/>
      <c r="N56" s="341"/>
    </row>
    <row r="57" spans="2:14" ht="30" customHeight="1" x14ac:dyDescent="0.2">
      <c r="B57" s="255"/>
      <c r="C57" s="256"/>
      <c r="D57" s="257"/>
      <c r="E57" s="314" t="s">
        <v>33</v>
      </c>
      <c r="F57" s="384"/>
      <c r="G57" s="385"/>
      <c r="H57" s="89">
        <f>SUM(H41:H56)</f>
        <v>40252.639999999999</v>
      </c>
      <c r="I57" s="114">
        <f>SUM(I41:I56)</f>
        <v>0</v>
      </c>
      <c r="J57" s="114">
        <f>SUM(J41:J56)</f>
        <v>0</v>
      </c>
      <c r="K57" s="114">
        <f>SUM(K41:K56)</f>
        <v>0</v>
      </c>
      <c r="L57" s="89">
        <f>SUM(L41:L56)</f>
        <v>40252.639999999999</v>
      </c>
      <c r="M57" s="93">
        <f>SUM(M41:M53)</f>
        <v>0</v>
      </c>
      <c r="N57" s="46"/>
    </row>
    <row r="58" spans="2:14" ht="30" customHeight="1" x14ac:dyDescent="0.2">
      <c r="B58" s="386" t="s">
        <v>44</v>
      </c>
      <c r="C58" s="387"/>
      <c r="D58" s="388"/>
      <c r="E58" s="388"/>
      <c r="F58" s="388"/>
      <c r="G58" s="388"/>
      <c r="H58" s="388"/>
      <c r="I58" s="388"/>
      <c r="J58" s="388"/>
      <c r="K58" s="388"/>
      <c r="L58" s="388"/>
      <c r="M58" s="389"/>
      <c r="N58" s="46"/>
    </row>
    <row r="59" spans="2:14" ht="30" customHeight="1" x14ac:dyDescent="0.2">
      <c r="B59" s="255">
        <v>40</v>
      </c>
      <c r="C59" s="256" t="s">
        <v>346</v>
      </c>
      <c r="D59" s="257" t="s">
        <v>128</v>
      </c>
      <c r="E59" s="257" t="s">
        <v>65</v>
      </c>
      <c r="F59" s="258">
        <v>15</v>
      </c>
      <c r="G59" s="311">
        <v>159.98240000000001</v>
      </c>
      <c r="H59" s="88">
        <f>ROUND(F59*G59,2)</f>
        <v>2399.7399999999998</v>
      </c>
      <c r="I59" s="113">
        <v>0</v>
      </c>
      <c r="J59" s="113">
        <f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13">
        <f>J59</f>
        <v>0</v>
      </c>
      <c r="L59" s="88">
        <f>H59+I59-K59</f>
        <v>2399.7399999999998</v>
      </c>
      <c r="M59" s="92"/>
      <c r="N59" s="341"/>
    </row>
    <row r="60" spans="2:14" ht="30" customHeight="1" x14ac:dyDescent="0.2">
      <c r="B60" s="255">
        <v>41</v>
      </c>
      <c r="C60" s="256" t="s">
        <v>229</v>
      </c>
      <c r="D60" s="257" t="s">
        <v>129</v>
      </c>
      <c r="E60" s="257" t="s">
        <v>58</v>
      </c>
      <c r="F60" s="258">
        <v>15</v>
      </c>
      <c r="G60" s="311">
        <v>213.13300000000001</v>
      </c>
      <c r="H60" s="88">
        <f>ROUND(F60*G60,2)</f>
        <v>3197</v>
      </c>
      <c r="I60" s="113">
        <v>0</v>
      </c>
      <c r="J60" s="113">
        <f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13">
        <f>J60</f>
        <v>0</v>
      </c>
      <c r="L60" s="88">
        <f>H60+I60-K60</f>
        <v>3197</v>
      </c>
      <c r="M60" s="92"/>
      <c r="N60" s="341">
        <f t="shared" ref="N60:N62" si="20">L60/2</f>
        <v>1598.5</v>
      </c>
    </row>
    <row r="61" spans="2:14" ht="30" customHeight="1" x14ac:dyDescent="0.2">
      <c r="B61" s="255">
        <v>42</v>
      </c>
      <c r="C61" s="256" t="s">
        <v>229</v>
      </c>
      <c r="D61" s="257" t="s">
        <v>130</v>
      </c>
      <c r="E61" s="257" t="s">
        <v>58</v>
      </c>
      <c r="F61" s="258">
        <v>15</v>
      </c>
      <c r="G61" s="311">
        <v>261.8</v>
      </c>
      <c r="H61" s="88">
        <f>ROUND(F61*G61,2)</f>
        <v>3927</v>
      </c>
      <c r="I61" s="113">
        <v>0</v>
      </c>
      <c r="J61" s="88">
        <f>IF(G61&lt;=248.93,0,(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))</f>
        <v>78.36</v>
      </c>
      <c r="K61" s="88">
        <f>J61</f>
        <v>78.36</v>
      </c>
      <c r="L61" s="88">
        <f>H61+I61-K61</f>
        <v>3848.64</v>
      </c>
      <c r="M61" s="92"/>
      <c r="N61" s="341">
        <f t="shared" si="20"/>
        <v>1924.32</v>
      </c>
    </row>
    <row r="62" spans="2:14" ht="30" customHeight="1" x14ac:dyDescent="0.2">
      <c r="B62" s="255">
        <v>43</v>
      </c>
      <c r="C62" s="256" t="s">
        <v>229</v>
      </c>
      <c r="D62" s="257" t="s">
        <v>162</v>
      </c>
      <c r="E62" s="257" t="s">
        <v>163</v>
      </c>
      <c r="F62" s="258">
        <v>15</v>
      </c>
      <c r="G62" s="311">
        <v>315.13299999999998</v>
      </c>
      <c r="H62" s="88">
        <f>ROUND(F62*G62,2)</f>
        <v>4727</v>
      </c>
      <c r="I62" s="113">
        <v>0</v>
      </c>
      <c r="J62" s="88">
        <f>IF(G62&lt;=248.93,0,(IFERROR(IF(ROUND((((H62/F62*30.4)-VLOOKUP((H62/F62*30.4),TARIFA,1))*VLOOKUP((H62/F62*30.4),TARIFA,3)+VLOOKUP((H62/F62*30.4),TARIFA,2)-VLOOKUP((H62/F62*30.4),SUBSIDIO,2))/30.4*F62,2)&gt;0,ROUND((((H62/F62*30.4)-VLOOKUP((H62/F62*30.4),TARIFA,1))*VLOOKUP((H62/F62*30.4),TARIFA,3)+VLOOKUP((H62/F62*30.4),TARIFA,2)-VLOOKUP((H62/F62*30.4),SUBSIDIO,2))/30.4*F62,2),0),0)))</f>
        <v>357.83</v>
      </c>
      <c r="K62" s="88">
        <f>J62</f>
        <v>357.83</v>
      </c>
      <c r="L62" s="88">
        <f>H62+I62-K62</f>
        <v>4369.17</v>
      </c>
      <c r="M62" s="92"/>
      <c r="N62" s="341">
        <f t="shared" si="20"/>
        <v>2184.585</v>
      </c>
    </row>
    <row r="63" spans="2:14" ht="30" customHeight="1" x14ac:dyDescent="0.2">
      <c r="B63" s="255">
        <v>44</v>
      </c>
      <c r="C63" s="256" t="s">
        <v>229</v>
      </c>
      <c r="D63" s="257" t="s">
        <v>447</v>
      </c>
      <c r="E63" s="257" t="s">
        <v>163</v>
      </c>
      <c r="F63" s="258">
        <v>15</v>
      </c>
      <c r="G63" s="311">
        <v>166.66659999999999</v>
      </c>
      <c r="H63" s="88">
        <f>ROUND(F63*G63,2)</f>
        <v>2500</v>
      </c>
      <c r="I63" s="113">
        <v>0</v>
      </c>
      <c r="J63" s="113">
        <v>0</v>
      </c>
      <c r="K63" s="113">
        <v>0</v>
      </c>
      <c r="L63" s="88">
        <f>H63+I63-K63</f>
        <v>2500</v>
      </c>
      <c r="M63" s="92"/>
      <c r="N63" s="341"/>
    </row>
    <row r="64" spans="2:14" ht="30" customHeight="1" x14ac:dyDescent="0.2">
      <c r="B64" s="255"/>
      <c r="C64" s="256"/>
      <c r="D64" s="257"/>
      <c r="E64" s="310" t="s">
        <v>33</v>
      </c>
      <c r="F64" s="384"/>
      <c r="G64" s="385"/>
      <c r="H64" s="89">
        <f>SUM(H59:H63)</f>
        <v>16750.739999999998</v>
      </c>
      <c r="I64" s="114">
        <f t="shared" ref="I64:L64" si="21">SUM(I59:I63)</f>
        <v>0</v>
      </c>
      <c r="J64" s="89">
        <f t="shared" si="21"/>
        <v>436.19</v>
      </c>
      <c r="K64" s="89">
        <f t="shared" si="21"/>
        <v>436.19</v>
      </c>
      <c r="L64" s="89">
        <f t="shared" si="21"/>
        <v>16314.55</v>
      </c>
      <c r="M64" s="93">
        <f t="shared" ref="M64" si="22">SUM(M59:M62)</f>
        <v>0</v>
      </c>
      <c r="N64" s="46"/>
    </row>
    <row r="65" spans="2:14" ht="30" customHeight="1" x14ac:dyDescent="0.2">
      <c r="B65" s="386" t="s">
        <v>45</v>
      </c>
      <c r="C65" s="387"/>
      <c r="D65" s="388"/>
      <c r="E65" s="388"/>
      <c r="F65" s="388"/>
      <c r="G65" s="388"/>
      <c r="H65" s="388"/>
      <c r="I65" s="388"/>
      <c r="J65" s="388"/>
      <c r="K65" s="388"/>
      <c r="L65" s="388"/>
      <c r="M65" s="389"/>
      <c r="N65" s="46"/>
    </row>
    <row r="66" spans="2:14" ht="29.45" customHeight="1" x14ac:dyDescent="0.2">
      <c r="B66" s="255">
        <v>44</v>
      </c>
      <c r="C66" s="256" t="s">
        <v>346</v>
      </c>
      <c r="D66" s="257" t="s">
        <v>131</v>
      </c>
      <c r="E66" s="257" t="s">
        <v>49</v>
      </c>
      <c r="F66" s="258">
        <v>15</v>
      </c>
      <c r="G66" s="137">
        <v>138.10599999999999</v>
      </c>
      <c r="H66" s="88">
        <f t="shared" ref="H66:H72" si="23">ROUND(F66*G66,2)</f>
        <v>2071.59</v>
      </c>
      <c r="I66" s="113">
        <v>0</v>
      </c>
      <c r="J66" s="113">
        <f t="shared" ref="J66:J72" si="24"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0</v>
      </c>
      <c r="K66" s="113">
        <f t="shared" ref="K66:K72" si="25">J66</f>
        <v>0</v>
      </c>
      <c r="L66" s="88">
        <f t="shared" ref="L66:L72" si="26">H66+I66-K66</f>
        <v>2071.59</v>
      </c>
      <c r="M66" s="92"/>
      <c r="N66" s="341"/>
    </row>
    <row r="67" spans="2:14" ht="30" customHeight="1" x14ac:dyDescent="0.2">
      <c r="B67" s="255">
        <v>45</v>
      </c>
      <c r="C67" s="256" t="s">
        <v>346</v>
      </c>
      <c r="D67" s="257" t="s">
        <v>132</v>
      </c>
      <c r="E67" s="257" t="s">
        <v>49</v>
      </c>
      <c r="F67" s="258">
        <v>15</v>
      </c>
      <c r="G67" s="137">
        <v>153.333</v>
      </c>
      <c r="H67" s="88">
        <f t="shared" si="23"/>
        <v>2300</v>
      </c>
      <c r="I67" s="113">
        <v>0</v>
      </c>
      <c r="J67" s="113">
        <f t="shared" si="24"/>
        <v>0</v>
      </c>
      <c r="K67" s="113">
        <f t="shared" si="25"/>
        <v>0</v>
      </c>
      <c r="L67" s="88">
        <f t="shared" si="26"/>
        <v>2300</v>
      </c>
      <c r="M67" s="92"/>
      <c r="N67" s="341"/>
    </row>
    <row r="68" spans="2:14" ht="30" customHeight="1" x14ac:dyDescent="0.2">
      <c r="B68" s="255">
        <v>46</v>
      </c>
      <c r="C68" s="256" t="s">
        <v>346</v>
      </c>
      <c r="D68" s="257" t="s">
        <v>133</v>
      </c>
      <c r="E68" s="257" t="s">
        <v>49</v>
      </c>
      <c r="F68" s="258">
        <v>15</v>
      </c>
      <c r="G68" s="137">
        <v>153.333</v>
      </c>
      <c r="H68" s="88">
        <f t="shared" si="23"/>
        <v>2300</v>
      </c>
      <c r="I68" s="113">
        <v>0</v>
      </c>
      <c r="J68" s="113">
        <f t="shared" si="24"/>
        <v>0</v>
      </c>
      <c r="K68" s="113">
        <f t="shared" si="25"/>
        <v>0</v>
      </c>
      <c r="L68" s="88">
        <f t="shared" si="26"/>
        <v>2300</v>
      </c>
      <c r="M68" s="92"/>
      <c r="N68" s="341"/>
    </row>
    <row r="69" spans="2:14" ht="30" customHeight="1" x14ac:dyDescent="0.2">
      <c r="B69" s="255">
        <v>47</v>
      </c>
      <c r="C69" s="256" t="s">
        <v>346</v>
      </c>
      <c r="D69" s="316" t="s">
        <v>110</v>
      </c>
      <c r="E69" s="257" t="s">
        <v>49</v>
      </c>
      <c r="F69" s="258">
        <v>15</v>
      </c>
      <c r="G69" s="137">
        <v>111.819</v>
      </c>
      <c r="H69" s="88">
        <f t="shared" si="23"/>
        <v>1677.29</v>
      </c>
      <c r="I69" s="113">
        <v>0</v>
      </c>
      <c r="J69" s="113">
        <f t="shared" si="24"/>
        <v>0</v>
      </c>
      <c r="K69" s="113">
        <f t="shared" si="25"/>
        <v>0</v>
      </c>
      <c r="L69" s="88">
        <f t="shared" si="26"/>
        <v>1677.29</v>
      </c>
      <c r="M69" s="92"/>
      <c r="N69" s="341"/>
    </row>
    <row r="70" spans="2:14" ht="30" customHeight="1" x14ac:dyDescent="0.2">
      <c r="B70" s="255">
        <v>47</v>
      </c>
      <c r="C70" s="256" t="s">
        <v>229</v>
      </c>
      <c r="D70" s="316" t="s">
        <v>449</v>
      </c>
      <c r="E70" s="257" t="s">
        <v>49</v>
      </c>
      <c r="F70" s="258">
        <v>15</v>
      </c>
      <c r="G70" s="137">
        <v>146.66659999999999</v>
      </c>
      <c r="H70" s="88">
        <f t="shared" si="23"/>
        <v>2200</v>
      </c>
      <c r="I70" s="113">
        <v>0</v>
      </c>
      <c r="J70" s="113">
        <f t="shared" si="24"/>
        <v>0</v>
      </c>
      <c r="K70" s="113">
        <f t="shared" si="25"/>
        <v>0</v>
      </c>
      <c r="L70" s="88">
        <f t="shared" si="26"/>
        <v>2200</v>
      </c>
      <c r="M70" s="92"/>
      <c r="N70" s="341"/>
    </row>
    <row r="71" spans="2:14" ht="30" customHeight="1" x14ac:dyDescent="0.2">
      <c r="B71" s="255">
        <v>48</v>
      </c>
      <c r="C71" s="256" t="s">
        <v>229</v>
      </c>
      <c r="D71" s="316" t="s">
        <v>236</v>
      </c>
      <c r="E71" s="257" t="s">
        <v>234</v>
      </c>
      <c r="F71" s="258">
        <v>15</v>
      </c>
      <c r="G71" s="137">
        <v>544.6</v>
      </c>
      <c r="H71" s="88">
        <f t="shared" si="23"/>
        <v>8169</v>
      </c>
      <c r="I71" s="113">
        <v>0</v>
      </c>
      <c r="J71" s="113">
        <f t="shared" si="24"/>
        <v>921.87</v>
      </c>
      <c r="K71" s="113">
        <f t="shared" si="25"/>
        <v>921.87</v>
      </c>
      <c r="L71" s="88">
        <f t="shared" si="26"/>
        <v>7247.13</v>
      </c>
      <c r="M71" s="92"/>
      <c r="N71" s="341">
        <f t="shared" ref="N71:N72" si="27">L71/2</f>
        <v>3623.5650000000001</v>
      </c>
    </row>
    <row r="72" spans="2:14" ht="30" customHeight="1" x14ac:dyDescent="0.2">
      <c r="B72" s="255">
        <v>49</v>
      </c>
      <c r="C72" s="256" t="s">
        <v>229</v>
      </c>
      <c r="D72" s="316" t="s">
        <v>446</v>
      </c>
      <c r="E72" s="257" t="s">
        <v>234</v>
      </c>
      <c r="F72" s="258">
        <v>15</v>
      </c>
      <c r="G72" s="271">
        <v>441.834</v>
      </c>
      <c r="H72" s="88">
        <f t="shared" si="23"/>
        <v>6627.51</v>
      </c>
      <c r="I72" s="113">
        <v>0</v>
      </c>
      <c r="J72" s="113">
        <f t="shared" si="24"/>
        <v>627.51</v>
      </c>
      <c r="K72" s="113">
        <f t="shared" si="25"/>
        <v>627.51</v>
      </c>
      <c r="L72" s="88">
        <f t="shared" si="26"/>
        <v>6000</v>
      </c>
      <c r="M72" s="92"/>
      <c r="N72" s="341">
        <f t="shared" si="27"/>
        <v>3000</v>
      </c>
    </row>
    <row r="73" spans="2:14" ht="30" customHeight="1" x14ac:dyDescent="0.2">
      <c r="B73" s="255"/>
      <c r="C73" s="256"/>
      <c r="D73" s="257"/>
      <c r="E73" s="310" t="s">
        <v>33</v>
      </c>
      <c r="F73" s="384"/>
      <c r="G73" s="385"/>
      <c r="H73" s="89">
        <f>SUM(H66:H72)</f>
        <v>25345.39</v>
      </c>
      <c r="I73" s="114">
        <f t="shared" ref="I73:L73" si="28">SUM(I66:I72)</f>
        <v>0</v>
      </c>
      <c r="J73" s="89">
        <f t="shared" si="28"/>
        <v>1549.38</v>
      </c>
      <c r="K73" s="89">
        <f t="shared" si="28"/>
        <v>1549.38</v>
      </c>
      <c r="L73" s="89">
        <f t="shared" si="28"/>
        <v>23796.010000000002</v>
      </c>
      <c r="M73" s="93">
        <f>SUM(M66:M69)</f>
        <v>0</v>
      </c>
      <c r="N73" s="46"/>
    </row>
    <row r="74" spans="2:14" ht="30" customHeight="1" x14ac:dyDescent="0.2">
      <c r="B74" s="386" t="s">
        <v>57</v>
      </c>
      <c r="C74" s="387"/>
      <c r="D74" s="388"/>
      <c r="E74" s="388"/>
      <c r="F74" s="388"/>
      <c r="G74" s="388"/>
      <c r="H74" s="388"/>
      <c r="I74" s="388"/>
      <c r="J74" s="388"/>
      <c r="K74" s="388"/>
      <c r="L74" s="388"/>
      <c r="M74" s="389"/>
      <c r="N74" s="46"/>
    </row>
    <row r="75" spans="2:14" ht="30" customHeight="1" x14ac:dyDescent="0.2">
      <c r="B75" s="255">
        <v>49</v>
      </c>
      <c r="C75" s="256" t="s">
        <v>229</v>
      </c>
      <c r="D75" s="257" t="s">
        <v>134</v>
      </c>
      <c r="E75" s="257" t="s">
        <v>35</v>
      </c>
      <c r="F75" s="258">
        <v>15</v>
      </c>
      <c r="G75" s="311">
        <v>315.13299999999998</v>
      </c>
      <c r="H75" s="88">
        <f>ROUND(F75*G75,2)</f>
        <v>4727</v>
      </c>
      <c r="I75" s="113">
        <v>0</v>
      </c>
      <c r="J75" s="88">
        <f>IF(G75&lt;=248.93,0,(IFERROR(IF(ROUND((((H75/F75*30.4)-VLOOKUP((H75/F75*30.4),TARIFA,1))*VLOOKUP((H75/F75*30.4),TARIFA,3)+VLOOKUP((H75/F75*30.4),TARIFA,2)-VLOOKUP((H75/F75*30.4),SUBSIDIO,2))/30.4*F75,2)&gt;0,ROUND((((H75/F75*30.4)-VLOOKUP((H75/F75*30.4),TARIFA,1))*VLOOKUP((H75/F75*30.4),TARIFA,3)+VLOOKUP((H75/F75*30.4),TARIFA,2)-VLOOKUP((H75/F75*30.4),SUBSIDIO,2))/30.4*F75,2),0),0)))</f>
        <v>357.83</v>
      </c>
      <c r="K75" s="88">
        <f>J75</f>
        <v>357.83</v>
      </c>
      <c r="L75" s="88">
        <f>H75+I75-K75</f>
        <v>4369.17</v>
      </c>
      <c r="M75" s="92"/>
      <c r="N75" s="341">
        <f>L75/2</f>
        <v>2184.585</v>
      </c>
    </row>
    <row r="76" spans="2:14" ht="30" customHeight="1" x14ac:dyDescent="0.2">
      <c r="B76" s="255">
        <v>50</v>
      </c>
      <c r="C76" s="256" t="s">
        <v>346</v>
      </c>
      <c r="D76" s="257" t="s">
        <v>296</v>
      </c>
      <c r="E76" s="257" t="s">
        <v>49</v>
      </c>
      <c r="F76" s="258">
        <v>15</v>
      </c>
      <c r="G76" s="137">
        <v>113.94058</v>
      </c>
      <c r="H76" s="88">
        <f>ROUND(F76*G76,2)</f>
        <v>1709.11</v>
      </c>
      <c r="I76" s="113">
        <v>0</v>
      </c>
      <c r="J76" s="113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0</v>
      </c>
      <c r="K76" s="113">
        <f>J76</f>
        <v>0</v>
      </c>
      <c r="L76" s="88">
        <f>H76+I76-K76</f>
        <v>1709.11</v>
      </c>
      <c r="M76" s="92"/>
      <c r="N76" s="341"/>
    </row>
    <row r="77" spans="2:14" ht="30" customHeight="1" x14ac:dyDescent="0.2">
      <c r="B77" s="255"/>
      <c r="C77" s="256"/>
      <c r="D77" s="257"/>
      <c r="E77" s="310" t="s">
        <v>33</v>
      </c>
      <c r="F77" s="384"/>
      <c r="G77" s="385"/>
      <c r="H77" s="89">
        <f t="shared" ref="H77:M77" si="29">SUM(H75:H76)</f>
        <v>6436.11</v>
      </c>
      <c r="I77" s="114">
        <f t="shared" si="29"/>
        <v>0</v>
      </c>
      <c r="J77" s="89">
        <f t="shared" si="29"/>
        <v>357.83</v>
      </c>
      <c r="K77" s="89">
        <f t="shared" si="29"/>
        <v>357.83</v>
      </c>
      <c r="L77" s="89">
        <f t="shared" si="29"/>
        <v>6078.28</v>
      </c>
      <c r="M77" s="93">
        <f t="shared" si="29"/>
        <v>0</v>
      </c>
      <c r="N77" s="46"/>
    </row>
    <row r="78" spans="2:14" ht="30" customHeight="1" x14ac:dyDescent="0.2">
      <c r="B78" s="386" t="s">
        <v>46</v>
      </c>
      <c r="C78" s="387"/>
      <c r="D78" s="388"/>
      <c r="E78" s="388"/>
      <c r="F78" s="388"/>
      <c r="G78" s="388"/>
      <c r="H78" s="388"/>
      <c r="I78" s="388"/>
      <c r="J78" s="388"/>
      <c r="K78" s="388"/>
      <c r="L78" s="388"/>
      <c r="M78" s="389"/>
      <c r="N78" s="46"/>
    </row>
    <row r="79" spans="2:14" ht="30" customHeight="1" x14ac:dyDescent="0.2">
      <c r="B79" s="255">
        <v>51</v>
      </c>
      <c r="C79" s="256" t="s">
        <v>346</v>
      </c>
      <c r="D79" s="316" t="s">
        <v>135</v>
      </c>
      <c r="E79" s="257" t="s">
        <v>64</v>
      </c>
      <c r="F79" s="258">
        <v>15</v>
      </c>
      <c r="G79" s="137">
        <v>152.77699999999999</v>
      </c>
      <c r="H79" s="88">
        <f>ROUND(F79*G79,2)</f>
        <v>2291.66</v>
      </c>
      <c r="I79" s="113">
        <v>0</v>
      </c>
      <c r="J79" s="113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0</v>
      </c>
      <c r="K79" s="113">
        <f>J79</f>
        <v>0</v>
      </c>
      <c r="L79" s="88">
        <f>H79+I79-K79</f>
        <v>2291.66</v>
      </c>
      <c r="M79" s="92"/>
      <c r="N79" s="341"/>
    </row>
    <row r="80" spans="2:14" s="5" customFormat="1" ht="30" customHeight="1" x14ac:dyDescent="0.2">
      <c r="B80" s="255">
        <v>52</v>
      </c>
      <c r="C80" s="256" t="s">
        <v>346</v>
      </c>
      <c r="D80" s="316" t="s">
        <v>309</v>
      </c>
      <c r="E80" s="257" t="s">
        <v>58</v>
      </c>
      <c r="F80" s="258">
        <v>15</v>
      </c>
      <c r="G80" s="137">
        <v>124.004</v>
      </c>
      <c r="H80" s="88">
        <f>ROUND(F80*G80,2)</f>
        <v>1860.06</v>
      </c>
      <c r="I80" s="113">
        <v>0</v>
      </c>
      <c r="J80" s="113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0</v>
      </c>
      <c r="K80" s="113">
        <f>J80</f>
        <v>0</v>
      </c>
      <c r="L80" s="88">
        <f>H80+I80-K80</f>
        <v>1860.06</v>
      </c>
      <c r="M80" s="92"/>
      <c r="N80" s="341"/>
    </row>
    <row r="81" spans="1:14" ht="30" customHeight="1" x14ac:dyDescent="0.2">
      <c r="B81" s="255">
        <v>53</v>
      </c>
      <c r="C81" s="256" t="s">
        <v>346</v>
      </c>
      <c r="D81" s="316" t="s">
        <v>310</v>
      </c>
      <c r="E81" s="257" t="s">
        <v>58</v>
      </c>
      <c r="F81" s="258">
        <v>15</v>
      </c>
      <c r="G81" s="137">
        <v>124.004</v>
      </c>
      <c r="H81" s="88">
        <f>ROUND(F81*G81,2)</f>
        <v>1860.06</v>
      </c>
      <c r="I81" s="113">
        <v>0</v>
      </c>
      <c r="J81" s="113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13">
        <f>J81</f>
        <v>0</v>
      </c>
      <c r="L81" s="88">
        <f>H81+I81-K81</f>
        <v>1860.06</v>
      </c>
      <c r="M81" s="92"/>
      <c r="N81" s="341"/>
    </row>
    <row r="82" spans="1:14" ht="30" customHeight="1" x14ac:dyDescent="0.2">
      <c r="B82" s="255">
        <v>54</v>
      </c>
      <c r="C82" s="256" t="s">
        <v>346</v>
      </c>
      <c r="D82" s="257" t="s">
        <v>311</v>
      </c>
      <c r="E82" s="257" t="s">
        <v>62</v>
      </c>
      <c r="F82" s="258">
        <v>15</v>
      </c>
      <c r="G82" s="137">
        <v>98.84</v>
      </c>
      <c r="H82" s="88">
        <f>ROUND(F82*G82,2)</f>
        <v>1482.6</v>
      </c>
      <c r="I82" s="113">
        <v>0</v>
      </c>
      <c r="J82" s="113">
        <f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13">
        <f>J82</f>
        <v>0</v>
      </c>
      <c r="L82" s="88">
        <f>H82+I82-K82</f>
        <v>1482.6</v>
      </c>
      <c r="M82" s="92"/>
      <c r="N82" s="341"/>
    </row>
    <row r="83" spans="1:14" ht="30" customHeight="1" x14ac:dyDescent="0.2">
      <c r="B83" s="255"/>
      <c r="C83" s="256"/>
      <c r="D83" s="257"/>
      <c r="E83" s="310" t="s">
        <v>33</v>
      </c>
      <c r="F83" s="384"/>
      <c r="G83" s="385"/>
      <c r="H83" s="89">
        <f>SUM(H79:H82)</f>
        <v>7494.3799999999992</v>
      </c>
      <c r="I83" s="114">
        <f>SUM(I79:I82)</f>
        <v>0</v>
      </c>
      <c r="J83" s="114">
        <f>SUM(J79:J82)</f>
        <v>0</v>
      </c>
      <c r="K83" s="114">
        <f>SUM(K79:K82)</f>
        <v>0</v>
      </c>
      <c r="L83" s="89">
        <f>SUM(L79:L82)</f>
        <v>7494.3799999999992</v>
      </c>
      <c r="M83" s="93">
        <f>SUM(M79:M81)</f>
        <v>0</v>
      </c>
      <c r="N83" s="46"/>
    </row>
    <row r="84" spans="1:14" ht="30" customHeight="1" x14ac:dyDescent="0.2">
      <c r="B84" s="386" t="s">
        <v>47</v>
      </c>
      <c r="C84" s="387"/>
      <c r="D84" s="388"/>
      <c r="E84" s="388"/>
      <c r="F84" s="388"/>
      <c r="G84" s="388"/>
      <c r="H84" s="388"/>
      <c r="I84" s="388"/>
      <c r="J84" s="388"/>
      <c r="K84" s="388"/>
      <c r="L84" s="388"/>
      <c r="M84" s="389"/>
      <c r="N84" s="46"/>
    </row>
    <row r="85" spans="1:14" ht="30" customHeight="1" x14ac:dyDescent="0.2">
      <c r="A85" s="64"/>
      <c r="B85" s="255">
        <v>55</v>
      </c>
      <c r="C85" s="256" t="s">
        <v>346</v>
      </c>
      <c r="D85" s="316" t="s">
        <v>136</v>
      </c>
      <c r="E85" s="257" t="s">
        <v>77</v>
      </c>
      <c r="F85" s="258">
        <v>15</v>
      </c>
      <c r="G85" s="137">
        <v>118.30800000000001</v>
      </c>
      <c r="H85" s="88">
        <f t="shared" ref="H85:H97" si="30">ROUND(F85*G85,2)</f>
        <v>1774.62</v>
      </c>
      <c r="I85" s="113">
        <v>0</v>
      </c>
      <c r="J85" s="113">
        <f t="shared" ref="J85:J97" si="31">IF(G85&lt;=248.93,0,(IFERROR(IF(ROUND((((H85/F85*30.4)-VLOOKUP((H85/F85*30.4),TARIFA,1))*VLOOKUP((H85/F85*30.4),TARIFA,3)+VLOOKUP((H85/F85*30.4),TARIFA,2)-VLOOKUP((H85/F85*30.4),SUBSIDIO,2))/30.4*F85,2)&gt;0,ROUND((((H85/F85*30.4)-VLOOKUP((H85/F85*30.4),TARIFA,1))*VLOOKUP((H85/F85*30.4),TARIFA,3)+VLOOKUP((H85/F85*30.4),TARIFA,2)-VLOOKUP((H85/F85*30.4),SUBSIDIO,2))/30.4*F85,2),0),0)))</f>
        <v>0</v>
      </c>
      <c r="K85" s="113">
        <f t="shared" ref="K85:K97" si="32">J85</f>
        <v>0</v>
      </c>
      <c r="L85" s="88">
        <f t="shared" ref="L85:L97" si="33">H85+I85-K85</f>
        <v>1774.62</v>
      </c>
      <c r="M85" s="92"/>
      <c r="N85" s="341"/>
    </row>
    <row r="86" spans="1:14" ht="30" customHeight="1" x14ac:dyDescent="0.2">
      <c r="B86" s="255">
        <v>56</v>
      </c>
      <c r="C86" s="256" t="s">
        <v>229</v>
      </c>
      <c r="D86" s="257" t="s">
        <v>334</v>
      </c>
      <c r="E86" s="257" t="s">
        <v>49</v>
      </c>
      <c r="F86" s="258">
        <v>15</v>
      </c>
      <c r="G86" s="137">
        <v>120.929</v>
      </c>
      <c r="H86" s="88">
        <f t="shared" si="30"/>
        <v>1813.94</v>
      </c>
      <c r="I86" s="113">
        <v>0</v>
      </c>
      <c r="J86" s="113">
        <f t="shared" si="31"/>
        <v>0</v>
      </c>
      <c r="K86" s="113">
        <f t="shared" si="32"/>
        <v>0</v>
      </c>
      <c r="L86" s="88">
        <f t="shared" si="33"/>
        <v>1813.94</v>
      </c>
      <c r="M86" s="92"/>
      <c r="N86" s="341"/>
    </row>
    <row r="87" spans="1:14" ht="30" customHeight="1" x14ac:dyDescent="0.2">
      <c r="B87" s="255">
        <v>57</v>
      </c>
      <c r="C87" s="256" t="s">
        <v>229</v>
      </c>
      <c r="D87" s="257" t="s">
        <v>137</v>
      </c>
      <c r="E87" s="257" t="s">
        <v>87</v>
      </c>
      <c r="F87" s="258">
        <v>15</v>
      </c>
      <c r="G87" s="137">
        <v>101.7106</v>
      </c>
      <c r="H87" s="88">
        <f t="shared" si="30"/>
        <v>1525.66</v>
      </c>
      <c r="I87" s="113">
        <v>0</v>
      </c>
      <c r="J87" s="113">
        <f t="shared" si="31"/>
        <v>0</v>
      </c>
      <c r="K87" s="113">
        <f t="shared" si="32"/>
        <v>0</v>
      </c>
      <c r="L87" s="88">
        <f t="shared" si="33"/>
        <v>1525.66</v>
      </c>
      <c r="M87" s="92"/>
      <c r="N87" s="341"/>
    </row>
    <row r="88" spans="1:14" ht="30" customHeight="1" x14ac:dyDescent="0.2">
      <c r="B88" s="255">
        <v>58</v>
      </c>
      <c r="C88" s="256" t="s">
        <v>229</v>
      </c>
      <c r="D88" s="257" t="s">
        <v>332</v>
      </c>
      <c r="E88" s="257" t="s">
        <v>82</v>
      </c>
      <c r="F88" s="258">
        <v>15</v>
      </c>
      <c r="G88" s="137">
        <v>295.733</v>
      </c>
      <c r="H88" s="88">
        <f t="shared" si="30"/>
        <v>4436</v>
      </c>
      <c r="I88" s="113">
        <v>0</v>
      </c>
      <c r="J88" s="88">
        <f t="shared" si="31"/>
        <v>133.74</v>
      </c>
      <c r="K88" s="88">
        <f t="shared" si="32"/>
        <v>133.74</v>
      </c>
      <c r="L88" s="88">
        <f t="shared" si="33"/>
        <v>4302.26</v>
      </c>
      <c r="M88" s="92"/>
      <c r="N88" s="341">
        <f t="shared" ref="N88:N95" si="34">L88/2</f>
        <v>2151.13</v>
      </c>
    </row>
    <row r="89" spans="1:14" ht="30" customHeight="1" x14ac:dyDescent="0.2">
      <c r="B89" s="255">
        <v>59</v>
      </c>
      <c r="C89" s="256" t="s">
        <v>229</v>
      </c>
      <c r="D89" s="257" t="s">
        <v>333</v>
      </c>
      <c r="E89" s="257" t="s">
        <v>38</v>
      </c>
      <c r="F89" s="258">
        <v>15</v>
      </c>
      <c r="G89" s="137">
        <v>118.9325</v>
      </c>
      <c r="H89" s="88">
        <f>ROUND(F89*G89,2)</f>
        <v>1783.99</v>
      </c>
      <c r="I89" s="113">
        <v>0</v>
      </c>
      <c r="J89" s="113">
        <f t="shared" si="31"/>
        <v>0</v>
      </c>
      <c r="K89" s="113">
        <f t="shared" si="32"/>
        <v>0</v>
      </c>
      <c r="L89" s="88">
        <f t="shared" si="33"/>
        <v>1783.99</v>
      </c>
      <c r="M89" s="92"/>
      <c r="N89" s="341"/>
    </row>
    <row r="90" spans="1:14" ht="30" customHeight="1" x14ac:dyDescent="0.2">
      <c r="B90" s="255">
        <v>60</v>
      </c>
      <c r="C90" s="256" t="s">
        <v>346</v>
      </c>
      <c r="D90" s="257" t="s">
        <v>138</v>
      </c>
      <c r="E90" s="257" t="s">
        <v>89</v>
      </c>
      <c r="F90" s="258">
        <v>15</v>
      </c>
      <c r="G90" s="137">
        <v>118.9325</v>
      </c>
      <c r="H90" s="88">
        <f>ROUND(F90*G90,2)</f>
        <v>1783.99</v>
      </c>
      <c r="I90" s="113">
        <v>0</v>
      </c>
      <c r="J90" s="113">
        <f t="shared" si="31"/>
        <v>0</v>
      </c>
      <c r="K90" s="113">
        <f t="shared" si="32"/>
        <v>0</v>
      </c>
      <c r="L90" s="88">
        <f t="shared" si="33"/>
        <v>1783.99</v>
      </c>
      <c r="M90" s="92"/>
      <c r="N90" s="341"/>
    </row>
    <row r="91" spans="1:14" ht="30" customHeight="1" x14ac:dyDescent="0.2">
      <c r="B91" s="255">
        <v>61</v>
      </c>
      <c r="C91" s="256" t="s">
        <v>229</v>
      </c>
      <c r="D91" s="257" t="s">
        <v>340</v>
      </c>
      <c r="E91" s="257" t="s">
        <v>62</v>
      </c>
      <c r="F91" s="258">
        <v>15</v>
      </c>
      <c r="G91" s="137">
        <v>90.921999999999997</v>
      </c>
      <c r="H91" s="88">
        <f t="shared" si="30"/>
        <v>1363.83</v>
      </c>
      <c r="I91" s="113">
        <v>0</v>
      </c>
      <c r="J91" s="113">
        <f t="shared" si="31"/>
        <v>0</v>
      </c>
      <c r="K91" s="113">
        <f t="shared" si="32"/>
        <v>0</v>
      </c>
      <c r="L91" s="88">
        <f t="shared" si="33"/>
        <v>1363.83</v>
      </c>
      <c r="M91" s="92"/>
      <c r="N91" s="341"/>
    </row>
    <row r="92" spans="1:14" s="5" customFormat="1" ht="30" customHeight="1" x14ac:dyDescent="0.2">
      <c r="B92" s="255">
        <v>62</v>
      </c>
      <c r="C92" s="256" t="s">
        <v>229</v>
      </c>
      <c r="D92" s="257" t="s">
        <v>139</v>
      </c>
      <c r="E92" s="257" t="s">
        <v>59</v>
      </c>
      <c r="F92" s="258">
        <v>15</v>
      </c>
      <c r="G92" s="137">
        <v>210.46639999999999</v>
      </c>
      <c r="H92" s="88">
        <f t="shared" si="30"/>
        <v>3157</v>
      </c>
      <c r="I92" s="113">
        <v>0</v>
      </c>
      <c r="J92" s="113">
        <f t="shared" si="31"/>
        <v>0</v>
      </c>
      <c r="K92" s="113">
        <f t="shared" si="32"/>
        <v>0</v>
      </c>
      <c r="L92" s="88">
        <f t="shared" si="33"/>
        <v>3157</v>
      </c>
      <c r="M92" s="92"/>
      <c r="N92" s="341">
        <f t="shared" si="34"/>
        <v>1578.5</v>
      </c>
    </row>
    <row r="93" spans="1:14" ht="30" customHeight="1" x14ac:dyDescent="0.2">
      <c r="B93" s="255">
        <v>63</v>
      </c>
      <c r="C93" s="256" t="s">
        <v>346</v>
      </c>
      <c r="D93" s="257" t="s">
        <v>288</v>
      </c>
      <c r="E93" s="257" t="s">
        <v>51</v>
      </c>
      <c r="F93" s="258">
        <v>15</v>
      </c>
      <c r="G93" s="137">
        <v>91.108999999999995</v>
      </c>
      <c r="H93" s="88">
        <f t="shared" si="30"/>
        <v>1366.64</v>
      </c>
      <c r="I93" s="113">
        <v>0</v>
      </c>
      <c r="J93" s="113">
        <f t="shared" si="31"/>
        <v>0</v>
      </c>
      <c r="K93" s="113">
        <f t="shared" si="32"/>
        <v>0</v>
      </c>
      <c r="L93" s="88">
        <f t="shared" si="33"/>
        <v>1366.64</v>
      </c>
      <c r="M93" s="92"/>
      <c r="N93" s="341"/>
    </row>
    <row r="94" spans="1:14" ht="30" customHeight="1" x14ac:dyDescent="0.2">
      <c r="B94" s="255">
        <v>64</v>
      </c>
      <c r="C94" s="256" t="s">
        <v>346</v>
      </c>
      <c r="D94" s="257" t="s">
        <v>235</v>
      </c>
      <c r="E94" s="257" t="s">
        <v>51</v>
      </c>
      <c r="F94" s="258">
        <v>15</v>
      </c>
      <c r="G94" s="137">
        <v>91.108999999999995</v>
      </c>
      <c r="H94" s="88">
        <f>ROUND(F94*G94,2)</f>
        <v>1366.64</v>
      </c>
      <c r="I94" s="113">
        <v>0</v>
      </c>
      <c r="J94" s="113">
        <f t="shared" si="31"/>
        <v>0</v>
      </c>
      <c r="K94" s="113">
        <f>J94</f>
        <v>0</v>
      </c>
      <c r="L94" s="88">
        <f t="shared" si="33"/>
        <v>1366.64</v>
      </c>
      <c r="M94" s="92"/>
      <c r="N94" s="341"/>
    </row>
    <row r="95" spans="1:14" ht="30" customHeight="1" x14ac:dyDescent="0.2">
      <c r="B95" s="255">
        <v>65</v>
      </c>
      <c r="C95" s="256" t="s">
        <v>229</v>
      </c>
      <c r="D95" s="257" t="s">
        <v>140</v>
      </c>
      <c r="E95" s="257" t="s">
        <v>58</v>
      </c>
      <c r="F95" s="258">
        <v>15</v>
      </c>
      <c r="G95" s="137">
        <v>177.53299999999999</v>
      </c>
      <c r="H95" s="88">
        <f t="shared" si="30"/>
        <v>2663</v>
      </c>
      <c r="I95" s="113">
        <v>0</v>
      </c>
      <c r="J95" s="113">
        <f t="shared" si="31"/>
        <v>0</v>
      </c>
      <c r="K95" s="113">
        <f t="shared" si="32"/>
        <v>0</v>
      </c>
      <c r="L95" s="88">
        <f t="shared" si="33"/>
        <v>2663</v>
      </c>
      <c r="M95" s="92"/>
      <c r="N95" s="341">
        <f t="shared" si="34"/>
        <v>1331.5</v>
      </c>
    </row>
    <row r="96" spans="1:14" s="5" customFormat="1" ht="30" customHeight="1" x14ac:dyDescent="0.2">
      <c r="B96" s="255">
        <v>66</v>
      </c>
      <c r="C96" s="256" t="s">
        <v>229</v>
      </c>
      <c r="D96" s="257" t="s">
        <v>339</v>
      </c>
      <c r="E96" s="257" t="s">
        <v>88</v>
      </c>
      <c r="F96" s="258">
        <v>15</v>
      </c>
      <c r="G96" s="137">
        <v>91.108999999999995</v>
      </c>
      <c r="H96" s="88">
        <f t="shared" si="30"/>
        <v>1366.64</v>
      </c>
      <c r="I96" s="113">
        <v>0</v>
      </c>
      <c r="J96" s="113">
        <f t="shared" si="31"/>
        <v>0</v>
      </c>
      <c r="K96" s="113">
        <f t="shared" si="32"/>
        <v>0</v>
      </c>
      <c r="L96" s="88">
        <f t="shared" si="33"/>
        <v>1366.64</v>
      </c>
      <c r="M96" s="92"/>
      <c r="N96" s="341"/>
    </row>
    <row r="97" spans="2:14" ht="30" customHeight="1" x14ac:dyDescent="0.2">
      <c r="B97" s="255">
        <v>67</v>
      </c>
      <c r="C97" s="256" t="s">
        <v>346</v>
      </c>
      <c r="D97" s="257" t="s">
        <v>233</v>
      </c>
      <c r="E97" s="257" t="s">
        <v>49</v>
      </c>
      <c r="F97" s="258">
        <v>15</v>
      </c>
      <c r="G97" s="317">
        <v>103.395</v>
      </c>
      <c r="H97" s="88">
        <f t="shared" si="30"/>
        <v>1550.93</v>
      </c>
      <c r="I97" s="113">
        <v>0</v>
      </c>
      <c r="J97" s="113">
        <f t="shared" si="31"/>
        <v>0</v>
      </c>
      <c r="K97" s="113">
        <f t="shared" si="32"/>
        <v>0</v>
      </c>
      <c r="L97" s="88">
        <f t="shared" si="33"/>
        <v>1550.93</v>
      </c>
      <c r="M97" s="92"/>
      <c r="N97" s="341"/>
    </row>
    <row r="98" spans="2:14" ht="30" customHeight="1" x14ac:dyDescent="0.2">
      <c r="B98" s="255">
        <v>68</v>
      </c>
      <c r="C98" s="256" t="s">
        <v>229</v>
      </c>
      <c r="D98" s="257" t="s">
        <v>341</v>
      </c>
      <c r="E98" s="257" t="s">
        <v>51</v>
      </c>
      <c r="F98" s="258">
        <v>15</v>
      </c>
      <c r="G98" s="137">
        <v>91.108999999999995</v>
      </c>
      <c r="H98" s="88">
        <f>ROUND(F98*G98,2)</f>
        <v>1366.64</v>
      </c>
      <c r="I98" s="113">
        <v>0</v>
      </c>
      <c r="J98" s="113">
        <f>IF(G98&lt;=248.93,0,(IFERROR(IF(ROUND((((H98/F98*30.4)-VLOOKUP((H98/F98*30.4),TARIFA,1))*VLOOKUP((H98/F98*30.4),TARIFA,3)+VLOOKUP((H98/F98*30.4),TARIFA,2)-VLOOKUP((H98/F98*30.4),SUBSIDIO,2))/30.4*F98,2)&gt;0,ROUND((((H98/F98*30.4)-VLOOKUP((H98/F98*30.4),TARIFA,1))*VLOOKUP((H98/F98*30.4),TARIFA,3)+VLOOKUP((H98/F98*30.4),TARIFA,2)-VLOOKUP((H98/F98*30.4),SUBSIDIO,2))/30.4*F98,2),0),0)))</f>
        <v>0</v>
      </c>
      <c r="K98" s="113">
        <f>J98</f>
        <v>0</v>
      </c>
      <c r="L98" s="88">
        <f>H98+I98-K98</f>
        <v>1366.64</v>
      </c>
      <c r="M98" s="92"/>
      <c r="N98" s="341"/>
    </row>
    <row r="99" spans="2:14" ht="30" customHeight="1" x14ac:dyDescent="0.2">
      <c r="B99" s="255"/>
      <c r="C99" s="256"/>
      <c r="D99" s="257"/>
      <c r="E99" s="310" t="s">
        <v>33</v>
      </c>
      <c r="F99" s="384"/>
      <c r="G99" s="385"/>
      <c r="H99" s="89">
        <f>SUM(H85:H98)</f>
        <v>27319.519999999997</v>
      </c>
      <c r="I99" s="114">
        <f>SUM(I85:I98)</f>
        <v>0</v>
      </c>
      <c r="J99" s="89">
        <f>SUM(J85:J98)</f>
        <v>133.74</v>
      </c>
      <c r="K99" s="89">
        <f>SUM(K85:K98)</f>
        <v>133.74</v>
      </c>
      <c r="L99" s="89">
        <f>SUM(L85:L98)</f>
        <v>27185.78</v>
      </c>
      <c r="M99" s="93">
        <f>SUM(M85:M97)</f>
        <v>0</v>
      </c>
      <c r="N99" s="46"/>
    </row>
    <row r="100" spans="2:14" ht="30" customHeight="1" x14ac:dyDescent="0.2">
      <c r="B100" s="386" t="s">
        <v>48</v>
      </c>
      <c r="C100" s="387"/>
      <c r="D100" s="388"/>
      <c r="E100" s="388"/>
      <c r="F100" s="388"/>
      <c r="G100" s="388"/>
      <c r="H100" s="388"/>
      <c r="I100" s="388"/>
      <c r="J100" s="388"/>
      <c r="K100" s="388"/>
      <c r="L100" s="388"/>
      <c r="M100" s="389"/>
      <c r="N100" s="46"/>
    </row>
    <row r="101" spans="2:14" ht="30" customHeight="1" x14ac:dyDescent="0.2">
      <c r="B101" s="255">
        <v>69</v>
      </c>
      <c r="C101" s="256" t="s">
        <v>229</v>
      </c>
      <c r="D101" s="257" t="s">
        <v>316</v>
      </c>
      <c r="E101" s="257" t="s">
        <v>51</v>
      </c>
      <c r="F101" s="258">
        <v>15</v>
      </c>
      <c r="G101" s="137">
        <v>128.684</v>
      </c>
      <c r="H101" s="88">
        <f t="shared" ref="H101:H111" si="35">ROUND(F101*G101,2)</f>
        <v>1930.26</v>
      </c>
      <c r="I101" s="113">
        <v>0</v>
      </c>
      <c r="J101" s="113">
        <f t="shared" ref="J101:J111" si="36">IF(G101&lt;=248.93,0,(IFERROR(IF(ROUND((((H101/F101*30.4)-VLOOKUP((H101/F101*30.4),TARIFA,1))*VLOOKUP((H101/F101*30.4),TARIFA,3)+VLOOKUP((H101/F101*30.4),TARIFA,2)-VLOOKUP((H101/F101*30.4),SUBSIDIO,2))/30.4*F101,2)&gt;0,ROUND((((H101/F101*30.4)-VLOOKUP((H101/F101*30.4),TARIFA,1))*VLOOKUP((H101/F101*30.4),TARIFA,3)+VLOOKUP((H101/F101*30.4),TARIFA,2)-VLOOKUP((H101/F101*30.4),SUBSIDIO,2))/30.4*F101,2),0),0)))</f>
        <v>0</v>
      </c>
      <c r="K101" s="113">
        <f t="shared" ref="K101:K111" si="37">J101</f>
        <v>0</v>
      </c>
      <c r="L101" s="88">
        <f t="shared" ref="L101:L110" si="38">H101+I101-K101</f>
        <v>1930.26</v>
      </c>
      <c r="M101" s="92"/>
      <c r="N101" s="341"/>
    </row>
    <row r="102" spans="2:14" ht="30" customHeight="1" x14ac:dyDescent="0.2">
      <c r="B102" s="255">
        <v>70</v>
      </c>
      <c r="C102" s="256" t="s">
        <v>346</v>
      </c>
      <c r="D102" s="257" t="s">
        <v>141</v>
      </c>
      <c r="E102" s="257" t="s">
        <v>91</v>
      </c>
      <c r="F102" s="258">
        <v>15</v>
      </c>
      <c r="G102" s="137">
        <v>91.233999999999995</v>
      </c>
      <c r="H102" s="88">
        <f t="shared" si="35"/>
        <v>1368.51</v>
      </c>
      <c r="I102" s="113">
        <v>0</v>
      </c>
      <c r="J102" s="113">
        <f t="shared" si="36"/>
        <v>0</v>
      </c>
      <c r="K102" s="113">
        <f t="shared" si="37"/>
        <v>0</v>
      </c>
      <c r="L102" s="88">
        <f t="shared" si="38"/>
        <v>1368.51</v>
      </c>
      <c r="M102" s="92"/>
      <c r="N102" s="341"/>
    </row>
    <row r="103" spans="2:14" ht="30" customHeight="1" x14ac:dyDescent="0.2">
      <c r="B103" s="255">
        <v>71</v>
      </c>
      <c r="C103" s="256" t="s">
        <v>229</v>
      </c>
      <c r="D103" s="257" t="s">
        <v>350</v>
      </c>
      <c r="E103" s="257" t="s">
        <v>58</v>
      </c>
      <c r="F103" s="258">
        <v>15</v>
      </c>
      <c r="G103" s="137">
        <v>195</v>
      </c>
      <c r="H103" s="88">
        <f t="shared" si="35"/>
        <v>2925</v>
      </c>
      <c r="I103" s="113">
        <v>0</v>
      </c>
      <c r="J103" s="113">
        <f t="shared" si="36"/>
        <v>0</v>
      </c>
      <c r="K103" s="113">
        <f>J103</f>
        <v>0</v>
      </c>
      <c r="L103" s="88">
        <f>H103+I103-K103</f>
        <v>2925</v>
      </c>
      <c r="M103" s="92"/>
      <c r="N103" s="341">
        <f t="shared" ref="N103:N111" si="39">L103/2</f>
        <v>1462.5</v>
      </c>
    </row>
    <row r="104" spans="2:14" ht="30" customHeight="1" x14ac:dyDescent="0.2">
      <c r="B104" s="255">
        <v>72</v>
      </c>
      <c r="C104" s="256" t="s">
        <v>229</v>
      </c>
      <c r="D104" s="257" t="s">
        <v>320</v>
      </c>
      <c r="E104" s="257" t="s">
        <v>58</v>
      </c>
      <c r="F104" s="258">
        <v>15</v>
      </c>
      <c r="G104" s="137">
        <v>195</v>
      </c>
      <c r="H104" s="88">
        <f>ROUND(F104*G104,2)</f>
        <v>2925</v>
      </c>
      <c r="I104" s="113">
        <v>0</v>
      </c>
      <c r="J104" s="113">
        <f>IF(G104&lt;=248.93,0,(IFERROR(IF(ROUND((((H104/F104*30.4)-VLOOKUP((H104/F104*30.4),TARIFA,1))*VLOOKUP((H104/F104*30.4),TARIFA,3)+VLOOKUP((H104/F104*30.4),TARIFA,2)-VLOOKUP((H104/F104*30.4),SUBSIDIO,2))/30.4*F104,2)&gt;0,ROUND((((H104/F104*30.4)-VLOOKUP((H104/F104*30.4),TARIFA,1))*VLOOKUP((H104/F104*30.4),TARIFA,3)+VLOOKUP((H104/F104*30.4),TARIFA,2)-VLOOKUP((H104/F104*30.4),SUBSIDIO,2))/30.4*F104,2),0),0)))</f>
        <v>0</v>
      </c>
      <c r="K104" s="113">
        <f>J104</f>
        <v>0</v>
      </c>
      <c r="L104" s="88">
        <f>H104+I104-K104</f>
        <v>2925</v>
      </c>
      <c r="M104" s="92"/>
      <c r="N104" s="341">
        <f t="shared" si="39"/>
        <v>1462.5</v>
      </c>
    </row>
    <row r="105" spans="2:14" ht="30" customHeight="1" x14ac:dyDescent="0.2">
      <c r="B105" s="255">
        <v>73</v>
      </c>
      <c r="C105" s="256" t="s">
        <v>346</v>
      </c>
      <c r="D105" s="257" t="s">
        <v>249</v>
      </c>
      <c r="E105" s="257" t="s">
        <v>60</v>
      </c>
      <c r="F105" s="258">
        <v>15</v>
      </c>
      <c r="G105" s="137">
        <v>111.819</v>
      </c>
      <c r="H105" s="88">
        <f t="shared" si="35"/>
        <v>1677.29</v>
      </c>
      <c r="I105" s="113">
        <v>0</v>
      </c>
      <c r="J105" s="113">
        <f t="shared" si="36"/>
        <v>0</v>
      </c>
      <c r="K105" s="113">
        <f t="shared" si="37"/>
        <v>0</v>
      </c>
      <c r="L105" s="88">
        <f t="shared" si="38"/>
        <v>1677.29</v>
      </c>
      <c r="M105" s="92"/>
      <c r="N105" s="341"/>
    </row>
    <row r="106" spans="2:14" ht="30" customHeight="1" x14ac:dyDescent="0.2">
      <c r="B106" s="255">
        <v>74</v>
      </c>
      <c r="C106" s="256" t="s">
        <v>346</v>
      </c>
      <c r="D106" s="257" t="s">
        <v>142</v>
      </c>
      <c r="E106" s="257" t="s">
        <v>60</v>
      </c>
      <c r="F106" s="258">
        <v>15</v>
      </c>
      <c r="G106" s="137">
        <v>92.356999999999999</v>
      </c>
      <c r="H106" s="88">
        <f t="shared" si="35"/>
        <v>1385.36</v>
      </c>
      <c r="I106" s="113">
        <v>0</v>
      </c>
      <c r="J106" s="113">
        <f t="shared" si="36"/>
        <v>0</v>
      </c>
      <c r="K106" s="113">
        <f t="shared" si="37"/>
        <v>0</v>
      </c>
      <c r="L106" s="88">
        <f t="shared" si="38"/>
        <v>1385.36</v>
      </c>
      <c r="M106" s="92"/>
      <c r="N106" s="341"/>
    </row>
    <row r="107" spans="2:14" ht="30" customHeight="1" x14ac:dyDescent="0.2">
      <c r="B107" s="255">
        <v>75</v>
      </c>
      <c r="C107" s="256" t="s">
        <v>346</v>
      </c>
      <c r="D107" s="257" t="s">
        <v>146</v>
      </c>
      <c r="E107" s="257" t="s">
        <v>64</v>
      </c>
      <c r="F107" s="258">
        <v>15</v>
      </c>
      <c r="G107" s="137">
        <v>135.1105</v>
      </c>
      <c r="H107" s="88">
        <f t="shared" si="35"/>
        <v>2026.66</v>
      </c>
      <c r="I107" s="113">
        <v>0</v>
      </c>
      <c r="J107" s="113">
        <f t="shared" si="36"/>
        <v>0</v>
      </c>
      <c r="K107" s="113">
        <f t="shared" si="37"/>
        <v>0</v>
      </c>
      <c r="L107" s="88">
        <f t="shared" si="38"/>
        <v>2026.66</v>
      </c>
      <c r="M107" s="92"/>
      <c r="N107" s="341"/>
    </row>
    <row r="108" spans="2:14" ht="30" customHeight="1" x14ac:dyDescent="0.2">
      <c r="B108" s="255">
        <v>76</v>
      </c>
      <c r="C108" s="256" t="s">
        <v>229</v>
      </c>
      <c r="D108" s="257" t="s">
        <v>145</v>
      </c>
      <c r="E108" s="257" t="s">
        <v>63</v>
      </c>
      <c r="F108" s="258">
        <v>15</v>
      </c>
      <c r="G108" s="137">
        <v>220.8</v>
      </c>
      <c r="H108" s="88">
        <f t="shared" si="35"/>
        <v>3312</v>
      </c>
      <c r="I108" s="113">
        <v>0</v>
      </c>
      <c r="J108" s="113">
        <f t="shared" si="36"/>
        <v>0</v>
      </c>
      <c r="K108" s="113">
        <f t="shared" si="37"/>
        <v>0</v>
      </c>
      <c r="L108" s="88">
        <f t="shared" si="38"/>
        <v>3312</v>
      </c>
      <c r="M108" s="92"/>
      <c r="N108" s="341">
        <f t="shared" si="39"/>
        <v>1656</v>
      </c>
    </row>
    <row r="109" spans="2:14" ht="40.5" customHeight="1" x14ac:dyDescent="0.2">
      <c r="B109" s="255">
        <v>77</v>
      </c>
      <c r="C109" s="256" t="s">
        <v>346</v>
      </c>
      <c r="D109" s="257" t="s">
        <v>144</v>
      </c>
      <c r="E109" s="257" t="s">
        <v>63</v>
      </c>
      <c r="F109" s="258">
        <v>15</v>
      </c>
      <c r="G109" s="137">
        <v>111.819</v>
      </c>
      <c r="H109" s="88">
        <f t="shared" si="35"/>
        <v>1677.29</v>
      </c>
      <c r="I109" s="113">
        <v>0</v>
      </c>
      <c r="J109" s="113">
        <f t="shared" si="36"/>
        <v>0</v>
      </c>
      <c r="K109" s="113">
        <f t="shared" si="37"/>
        <v>0</v>
      </c>
      <c r="L109" s="88">
        <f t="shared" si="38"/>
        <v>1677.29</v>
      </c>
      <c r="M109" s="92"/>
      <c r="N109" s="341"/>
    </row>
    <row r="110" spans="2:14" ht="30" customHeight="1" x14ac:dyDescent="0.2">
      <c r="B110" s="255">
        <v>78</v>
      </c>
      <c r="C110" s="256" t="s">
        <v>346</v>
      </c>
      <c r="D110" s="257" t="s">
        <v>143</v>
      </c>
      <c r="E110" s="257" t="s">
        <v>37</v>
      </c>
      <c r="F110" s="258">
        <v>15</v>
      </c>
      <c r="G110" s="137">
        <v>143.4725</v>
      </c>
      <c r="H110" s="88">
        <f t="shared" si="35"/>
        <v>2152.09</v>
      </c>
      <c r="I110" s="113">
        <v>0</v>
      </c>
      <c r="J110" s="113">
        <f t="shared" si="36"/>
        <v>0</v>
      </c>
      <c r="K110" s="113">
        <f t="shared" si="37"/>
        <v>0</v>
      </c>
      <c r="L110" s="88">
        <f t="shared" si="38"/>
        <v>2152.09</v>
      </c>
      <c r="M110" s="92"/>
      <c r="N110" s="341"/>
    </row>
    <row r="111" spans="2:14" ht="30" customHeight="1" x14ac:dyDescent="0.2">
      <c r="B111" s="255">
        <v>79</v>
      </c>
      <c r="C111" s="256" t="s">
        <v>229</v>
      </c>
      <c r="D111" s="257" t="s">
        <v>319</v>
      </c>
      <c r="E111" s="257" t="s">
        <v>77</v>
      </c>
      <c r="F111" s="258">
        <v>15</v>
      </c>
      <c r="G111" s="137">
        <v>200</v>
      </c>
      <c r="H111" s="88">
        <f t="shared" si="35"/>
        <v>3000</v>
      </c>
      <c r="I111" s="113">
        <v>0</v>
      </c>
      <c r="J111" s="113">
        <f t="shared" si="36"/>
        <v>0</v>
      </c>
      <c r="K111" s="113">
        <f t="shared" si="37"/>
        <v>0</v>
      </c>
      <c r="L111" s="88">
        <v>3000</v>
      </c>
      <c r="M111" s="92"/>
      <c r="N111" s="341">
        <f t="shared" si="39"/>
        <v>1500</v>
      </c>
    </row>
    <row r="112" spans="2:14" ht="30" customHeight="1" x14ac:dyDescent="0.2">
      <c r="B112" s="255"/>
      <c r="C112" s="256"/>
      <c r="D112" s="257"/>
      <c r="E112" s="310" t="s">
        <v>33</v>
      </c>
      <c r="F112" s="384"/>
      <c r="G112" s="385"/>
      <c r="H112" s="89">
        <f t="shared" ref="H112:M112" si="40">SUM(H101:H111)</f>
        <v>24379.460000000003</v>
      </c>
      <c r="I112" s="114">
        <f t="shared" si="40"/>
        <v>0</v>
      </c>
      <c r="J112" s="114">
        <f t="shared" si="40"/>
        <v>0</v>
      </c>
      <c r="K112" s="114">
        <f t="shared" si="40"/>
        <v>0</v>
      </c>
      <c r="L112" s="89">
        <f t="shared" si="40"/>
        <v>24379.460000000003</v>
      </c>
      <c r="M112" s="93">
        <f t="shared" si="40"/>
        <v>0</v>
      </c>
      <c r="N112" s="46"/>
    </row>
    <row r="113" spans="1:14" ht="30" customHeight="1" x14ac:dyDescent="0.2">
      <c r="B113" s="386" t="s">
        <v>50</v>
      </c>
      <c r="C113" s="387"/>
      <c r="D113" s="388"/>
      <c r="E113" s="388"/>
      <c r="F113" s="388"/>
      <c r="G113" s="388"/>
      <c r="H113" s="388"/>
      <c r="I113" s="388"/>
      <c r="J113" s="388"/>
      <c r="K113" s="388"/>
      <c r="L113" s="388"/>
      <c r="M113" s="389"/>
      <c r="N113" s="46"/>
    </row>
    <row r="114" spans="1:14" ht="30" customHeight="1" x14ac:dyDescent="0.2">
      <c r="B114" s="255">
        <v>80</v>
      </c>
      <c r="C114" s="256" t="s">
        <v>229</v>
      </c>
      <c r="D114" s="257" t="s">
        <v>147</v>
      </c>
      <c r="E114" s="257" t="s">
        <v>90</v>
      </c>
      <c r="F114" s="258">
        <v>15</v>
      </c>
      <c r="G114" s="311">
        <v>186.2664</v>
      </c>
      <c r="H114" s="88">
        <f t="shared" ref="H114:H119" si="41">ROUND(F114*G114,2)</f>
        <v>2794</v>
      </c>
      <c r="I114" s="113">
        <v>0</v>
      </c>
      <c r="J114" s="113">
        <f t="shared" ref="J114:J119" si="42">IF(G114&lt;=248.93,0,(IFERROR(IF(ROUND((((H114/F114*30.4)-VLOOKUP((H114/F114*30.4),TARIFA,1))*VLOOKUP((H114/F114*30.4),TARIFA,3)+VLOOKUP((H114/F114*30.4),TARIFA,2)-VLOOKUP((H114/F114*30.4),SUBSIDIO,2))/30.4*F114,2)&gt;0,ROUND((((H114/F114*30.4)-VLOOKUP((H114/F114*30.4),TARIFA,1))*VLOOKUP((H114/F114*30.4),TARIFA,3)+VLOOKUP((H114/F114*30.4),TARIFA,2)-VLOOKUP((H114/F114*30.4),SUBSIDIO,2))/30.4*F114,2),0),0)))</f>
        <v>0</v>
      </c>
      <c r="K114" s="113">
        <f t="shared" ref="K114:K119" si="43">J114</f>
        <v>0</v>
      </c>
      <c r="L114" s="88">
        <f t="shared" ref="L114:L119" si="44">H114+I114-K114</f>
        <v>2794</v>
      </c>
      <c r="M114" s="92"/>
      <c r="N114" s="341">
        <f>L114/2</f>
        <v>1397</v>
      </c>
    </row>
    <row r="115" spans="1:14" ht="30" customHeight="1" x14ac:dyDescent="0.2">
      <c r="B115" s="255">
        <v>81</v>
      </c>
      <c r="C115" s="256" t="s">
        <v>346</v>
      </c>
      <c r="D115" s="257" t="s">
        <v>148</v>
      </c>
      <c r="E115" s="257" t="s">
        <v>51</v>
      </c>
      <c r="F115" s="258">
        <v>15</v>
      </c>
      <c r="G115" s="137">
        <v>143.4725</v>
      </c>
      <c r="H115" s="88">
        <f t="shared" si="41"/>
        <v>2152.09</v>
      </c>
      <c r="I115" s="113">
        <v>0</v>
      </c>
      <c r="J115" s="113">
        <f t="shared" si="42"/>
        <v>0</v>
      </c>
      <c r="K115" s="113">
        <f t="shared" si="43"/>
        <v>0</v>
      </c>
      <c r="L115" s="88">
        <f t="shared" si="44"/>
        <v>2152.09</v>
      </c>
      <c r="M115" s="92"/>
      <c r="N115" s="341"/>
    </row>
    <row r="116" spans="1:14" ht="30" customHeight="1" x14ac:dyDescent="0.2">
      <c r="B116" s="255">
        <v>82</v>
      </c>
      <c r="C116" s="256" t="s">
        <v>229</v>
      </c>
      <c r="D116" s="257" t="s">
        <v>149</v>
      </c>
      <c r="E116" s="257" t="s">
        <v>92</v>
      </c>
      <c r="F116" s="258">
        <v>15</v>
      </c>
      <c r="G116" s="311">
        <v>261.8</v>
      </c>
      <c r="H116" s="88">
        <f t="shared" si="41"/>
        <v>3927</v>
      </c>
      <c r="I116" s="113">
        <v>0</v>
      </c>
      <c r="J116" s="88">
        <f t="shared" si="42"/>
        <v>78.36</v>
      </c>
      <c r="K116" s="88">
        <f t="shared" si="43"/>
        <v>78.36</v>
      </c>
      <c r="L116" s="88">
        <f t="shared" si="44"/>
        <v>3848.64</v>
      </c>
      <c r="M116" s="92"/>
      <c r="N116" s="341">
        <f t="shared" ref="N116" si="45">L116/2</f>
        <v>1924.32</v>
      </c>
    </row>
    <row r="117" spans="1:14" ht="30" customHeight="1" x14ac:dyDescent="0.2">
      <c r="B117" s="255">
        <v>83</v>
      </c>
      <c r="C117" s="256" t="s">
        <v>346</v>
      </c>
      <c r="D117" s="257" t="s">
        <v>348</v>
      </c>
      <c r="E117" s="257" t="s">
        <v>62</v>
      </c>
      <c r="F117" s="258">
        <v>15</v>
      </c>
      <c r="G117" s="311">
        <v>131.18</v>
      </c>
      <c r="H117" s="88">
        <f t="shared" si="41"/>
        <v>1967.7</v>
      </c>
      <c r="I117" s="113">
        <v>0</v>
      </c>
      <c r="J117" s="113">
        <f t="shared" si="42"/>
        <v>0</v>
      </c>
      <c r="K117" s="113">
        <f t="shared" si="43"/>
        <v>0</v>
      </c>
      <c r="L117" s="88">
        <f t="shared" si="44"/>
        <v>1967.7</v>
      </c>
      <c r="M117" s="92"/>
      <c r="N117" s="341"/>
    </row>
    <row r="118" spans="1:14" ht="30" customHeight="1" x14ac:dyDescent="0.2">
      <c r="B118" s="255">
        <v>84</v>
      </c>
      <c r="C118" s="256" t="s">
        <v>346</v>
      </c>
      <c r="D118" s="257" t="s">
        <v>231</v>
      </c>
      <c r="E118" s="257" t="s">
        <v>230</v>
      </c>
      <c r="F118" s="258">
        <v>15</v>
      </c>
      <c r="G118" s="311">
        <v>110.384</v>
      </c>
      <c r="H118" s="88">
        <f t="shared" si="41"/>
        <v>1655.76</v>
      </c>
      <c r="I118" s="113">
        <v>0</v>
      </c>
      <c r="J118" s="113">
        <f t="shared" si="42"/>
        <v>0</v>
      </c>
      <c r="K118" s="113">
        <f t="shared" si="43"/>
        <v>0</v>
      </c>
      <c r="L118" s="88">
        <f t="shared" si="44"/>
        <v>1655.76</v>
      </c>
      <c r="M118" s="92"/>
      <c r="N118" s="341"/>
    </row>
    <row r="119" spans="1:14" s="188" customFormat="1" ht="30" customHeight="1" x14ac:dyDescent="0.2">
      <c r="A119" s="28"/>
      <c r="B119" s="255">
        <v>85</v>
      </c>
      <c r="C119" s="256" t="s">
        <v>229</v>
      </c>
      <c r="D119" s="257" t="s">
        <v>325</v>
      </c>
      <c r="E119" s="257" t="s">
        <v>247</v>
      </c>
      <c r="F119" s="258">
        <v>15</v>
      </c>
      <c r="G119" s="311">
        <v>103.5825</v>
      </c>
      <c r="H119" s="88">
        <f t="shared" si="41"/>
        <v>1553.74</v>
      </c>
      <c r="I119" s="113">
        <v>0</v>
      </c>
      <c r="J119" s="113">
        <f t="shared" si="42"/>
        <v>0</v>
      </c>
      <c r="K119" s="113">
        <f t="shared" si="43"/>
        <v>0</v>
      </c>
      <c r="L119" s="88">
        <f t="shared" si="44"/>
        <v>1553.74</v>
      </c>
      <c r="M119" s="92"/>
      <c r="N119" s="341"/>
    </row>
    <row r="120" spans="1:14" s="188" customFormat="1" ht="30" customHeight="1" x14ac:dyDescent="0.2">
      <c r="A120" s="28"/>
      <c r="B120" s="255"/>
      <c r="C120" s="256"/>
      <c r="D120" s="257"/>
      <c r="E120" s="310" t="s">
        <v>33</v>
      </c>
      <c r="F120" s="384"/>
      <c r="G120" s="385"/>
      <c r="H120" s="89">
        <f>SUM(H114:H119)</f>
        <v>14050.29</v>
      </c>
      <c r="I120" s="114">
        <f>SUM(I114:I119)</f>
        <v>0</v>
      </c>
      <c r="J120" s="89">
        <f>SUM(J114:J119)</f>
        <v>78.36</v>
      </c>
      <c r="K120" s="89">
        <f>SUM(K114:K119)</f>
        <v>78.36</v>
      </c>
      <c r="L120" s="89">
        <f>SUM(L114:L119)</f>
        <v>13971.93</v>
      </c>
      <c r="M120" s="93">
        <f>SUM(M114:M117)</f>
        <v>0</v>
      </c>
      <c r="N120" s="46"/>
    </row>
    <row r="121" spans="1:14" s="188" customFormat="1" ht="30" customHeight="1" x14ac:dyDescent="0.2">
      <c r="A121" s="28"/>
      <c r="B121" s="386" t="s">
        <v>52</v>
      </c>
      <c r="C121" s="387"/>
      <c r="D121" s="388"/>
      <c r="E121" s="388"/>
      <c r="F121" s="388"/>
      <c r="G121" s="388"/>
      <c r="H121" s="388"/>
      <c r="I121" s="388"/>
      <c r="J121" s="388"/>
      <c r="K121" s="388"/>
      <c r="L121" s="388"/>
      <c r="M121" s="389"/>
      <c r="N121" s="46"/>
    </row>
    <row r="122" spans="1:14" ht="30" customHeight="1" x14ac:dyDescent="0.2">
      <c r="B122" s="318">
        <v>86</v>
      </c>
      <c r="C122" s="319" t="s">
        <v>229</v>
      </c>
      <c r="D122" s="257" t="s">
        <v>150</v>
      </c>
      <c r="E122" s="316" t="s">
        <v>61</v>
      </c>
      <c r="F122" s="315">
        <v>15</v>
      </c>
      <c r="G122" s="320">
        <v>203.8664</v>
      </c>
      <c r="H122" s="88">
        <f>ROUND(F122*G122,2)</f>
        <v>3058</v>
      </c>
      <c r="I122" s="113">
        <v>0</v>
      </c>
      <c r="J122" s="113">
        <f>IF(G122&lt;=248.93,0,(IFERROR(IF(ROUND((((H122/F122*30.4)-VLOOKUP((H122/F122*30.4),TARIFA,1))*VLOOKUP((H122/F122*30.4),TARIFA,3)+VLOOKUP((H122/F122*30.4),TARIFA,2)-VLOOKUP((H122/F122*30.4),SUBSIDIO,2))/30.4*F122,2)&gt;0,ROUND((((H122/F122*30.4)-VLOOKUP((H122/F122*30.4),TARIFA,1))*VLOOKUP((H122/F122*30.4),TARIFA,3)+VLOOKUP((H122/F122*30.4),TARIFA,2)-VLOOKUP((H122/F122*30.4),SUBSIDIO,2))/30.4*F122,2),0),0)))</f>
        <v>0</v>
      </c>
      <c r="K122" s="113">
        <f>J122</f>
        <v>0</v>
      </c>
      <c r="L122" s="88">
        <f>H122+I122-K122</f>
        <v>3058</v>
      </c>
      <c r="M122" s="92"/>
      <c r="N122" s="341">
        <f>L122/2</f>
        <v>1529</v>
      </c>
    </row>
    <row r="123" spans="1:14" ht="30" customHeight="1" x14ac:dyDescent="0.2">
      <c r="B123" s="318">
        <v>87</v>
      </c>
      <c r="C123" s="319" t="s">
        <v>346</v>
      </c>
      <c r="D123" s="257" t="s">
        <v>151</v>
      </c>
      <c r="E123" s="316" t="s">
        <v>42</v>
      </c>
      <c r="F123" s="315">
        <v>15</v>
      </c>
      <c r="G123" s="320">
        <v>57.544499999999999</v>
      </c>
      <c r="H123" s="88">
        <f>ROUND(F123*G123,2)</f>
        <v>863.17</v>
      </c>
      <c r="I123" s="113">
        <v>0</v>
      </c>
      <c r="J123" s="113">
        <f>IF(G123&lt;=248.93,0,(IFERROR(IF(ROUND((((H123/F123*30.4)-VLOOKUP((H123/F123*30.4),TARIFA,1))*VLOOKUP((H123/F123*30.4),TARIFA,3)+VLOOKUP((H123/F123*30.4),TARIFA,2)-VLOOKUP((H123/F123*30.4),SUBSIDIO,2))/30.4*F123,2)&gt;0,ROUND((((H123/F123*30.4)-VLOOKUP((H123/F123*30.4),TARIFA,1))*VLOOKUP((H123/F123*30.4),TARIFA,3)+VLOOKUP((H123/F123*30.4),TARIFA,2)-VLOOKUP((H123/F123*30.4),SUBSIDIO,2))/30.4*F123,2),0),0)))</f>
        <v>0</v>
      </c>
      <c r="K123" s="113">
        <f>J123</f>
        <v>0</v>
      </c>
      <c r="L123" s="88">
        <f>H123+I123-K123</f>
        <v>863.17</v>
      </c>
      <c r="M123" s="92"/>
      <c r="N123" s="341"/>
    </row>
    <row r="124" spans="1:14" ht="42" customHeight="1" x14ac:dyDescent="0.2">
      <c r="B124" s="255">
        <v>89</v>
      </c>
      <c r="C124" s="256" t="s">
        <v>229</v>
      </c>
      <c r="D124" s="316" t="s">
        <v>347</v>
      </c>
      <c r="E124" s="257" t="s">
        <v>76</v>
      </c>
      <c r="F124" s="258">
        <v>15</v>
      </c>
      <c r="G124" s="137">
        <v>277.33300000000003</v>
      </c>
      <c r="H124" s="88">
        <f>ROUND(F124*G124,2)</f>
        <v>4160</v>
      </c>
      <c r="I124" s="113">
        <v>0</v>
      </c>
      <c r="J124" s="88">
        <f>IF(G124&lt;=248.93,0,(IFERROR(IF(ROUND((((H124/F124*30.4)-VLOOKUP((H124/F124*30.4),TARIFA,1))*VLOOKUP((H124/F124*30.4),TARIFA,3)+VLOOKUP((H124/F124*30.4),TARIFA,2)-VLOOKUP((H124/F124*30.4),SUBSIDIO,2))/30.4*F124,2)&gt;0,ROUND((((H124/F124*30.4)-VLOOKUP((H124/F124*30.4),TARIFA,1))*VLOOKUP((H124/F124*30.4),TARIFA,3)+VLOOKUP((H124/F124*30.4),TARIFA,2)-VLOOKUP((H124/F124*30.4),SUBSIDIO,2))/30.4*F124,2),0),0)))</f>
        <v>103.71</v>
      </c>
      <c r="K124" s="88">
        <f>J124</f>
        <v>103.71</v>
      </c>
      <c r="L124" s="88">
        <f>H124+I124-K124</f>
        <v>4056.29</v>
      </c>
      <c r="M124" s="92"/>
      <c r="N124" s="341">
        <f t="shared" ref="N124:N130" si="46">L124/2</f>
        <v>2028.145</v>
      </c>
    </row>
    <row r="125" spans="1:14" ht="30" customHeight="1" x14ac:dyDescent="0.2">
      <c r="B125" s="255">
        <v>90</v>
      </c>
      <c r="C125" s="256" t="s">
        <v>346</v>
      </c>
      <c r="D125" s="316" t="s">
        <v>114</v>
      </c>
      <c r="E125" s="257" t="s">
        <v>49</v>
      </c>
      <c r="F125" s="258">
        <v>15</v>
      </c>
      <c r="G125" s="317">
        <v>103.64449999999999</v>
      </c>
      <c r="H125" s="88">
        <f>ROUND(F125*G125,2)</f>
        <v>1554.67</v>
      </c>
      <c r="I125" s="113">
        <v>0</v>
      </c>
      <c r="J125" s="113">
        <f>IF(G125&lt;=248.93,0,(IFERROR(IF(ROUND((((H125/F125*30.4)-VLOOKUP((H125/F125*30.4),TARIFA,1))*VLOOKUP((H125/F125*30.4),TARIFA,3)+VLOOKUP((H125/F125*30.4),TARIFA,2)-VLOOKUP((H125/F125*30.4),SUBSIDIO,2))/30.4*F125,2)&gt;0,ROUND((((H125/F125*30.4)-VLOOKUP((H125/F125*30.4),TARIFA,1))*VLOOKUP((H125/F125*30.4),TARIFA,3)+VLOOKUP((H125/F125*30.4),TARIFA,2)-VLOOKUP((H125/F125*30.4),SUBSIDIO,2))/30.4*F125,2),0),0)))</f>
        <v>0</v>
      </c>
      <c r="K125" s="113">
        <f>J125</f>
        <v>0</v>
      </c>
      <c r="L125" s="88">
        <f>H125+I125-K125</f>
        <v>1554.67</v>
      </c>
      <c r="M125" s="92"/>
      <c r="N125" s="341"/>
    </row>
    <row r="126" spans="1:14" ht="30" customHeight="1" x14ac:dyDescent="0.2">
      <c r="B126" s="255"/>
      <c r="C126" s="256"/>
      <c r="D126" s="257"/>
      <c r="E126" s="310" t="s">
        <v>33</v>
      </c>
      <c r="F126" s="384"/>
      <c r="G126" s="385"/>
      <c r="H126" s="89">
        <f t="shared" ref="H126:M126" si="47">SUM(H122:H125)</f>
        <v>9635.84</v>
      </c>
      <c r="I126" s="114">
        <f t="shared" si="47"/>
        <v>0</v>
      </c>
      <c r="J126" s="89">
        <f t="shared" si="47"/>
        <v>103.71</v>
      </c>
      <c r="K126" s="89">
        <f t="shared" si="47"/>
        <v>103.71</v>
      </c>
      <c r="L126" s="89">
        <f t="shared" si="47"/>
        <v>9532.130000000001</v>
      </c>
      <c r="M126" s="93">
        <f t="shared" si="47"/>
        <v>0</v>
      </c>
      <c r="N126" s="341"/>
    </row>
    <row r="127" spans="1:14" ht="30" customHeight="1" x14ac:dyDescent="0.2">
      <c r="B127" s="386" t="s">
        <v>66</v>
      </c>
      <c r="C127" s="387"/>
      <c r="D127" s="388"/>
      <c r="E127" s="388"/>
      <c r="F127" s="388"/>
      <c r="G127" s="388"/>
      <c r="H127" s="388"/>
      <c r="I127" s="388"/>
      <c r="J127" s="388"/>
      <c r="K127" s="388"/>
      <c r="L127" s="388"/>
      <c r="M127" s="389"/>
      <c r="N127" s="341">
        <f t="shared" si="46"/>
        <v>0</v>
      </c>
    </row>
    <row r="128" spans="1:14" ht="30" customHeight="1" x14ac:dyDescent="0.2">
      <c r="B128" s="255">
        <v>91</v>
      </c>
      <c r="C128" s="256" t="s">
        <v>229</v>
      </c>
      <c r="D128" s="257" t="s">
        <v>152</v>
      </c>
      <c r="E128" s="257" t="s">
        <v>53</v>
      </c>
      <c r="F128" s="258">
        <v>15</v>
      </c>
      <c r="G128" s="137">
        <v>270.39999999999998</v>
      </c>
      <c r="H128" s="88">
        <f>ROUND(F128*G128,2)</f>
        <v>4056</v>
      </c>
      <c r="I128" s="113">
        <v>0</v>
      </c>
      <c r="J128" s="88">
        <f>IF(G128&lt;=248.93,0,(IFERROR(IF(ROUND((((H128/F128*30.4)-VLOOKUP((H128/F128*30.4),TARIFA,1))*VLOOKUP((H128/F128*30.4),TARIFA,3)+VLOOKUP((H128/F128*30.4),TARIFA,2)-VLOOKUP((H128/F128*30.4),SUBSIDIO,2))/30.4*F128,2)&gt;0,ROUND((((H128/F128*30.4)-VLOOKUP((H128/F128*30.4),TARIFA,1))*VLOOKUP((H128/F128*30.4),TARIFA,3)+VLOOKUP((H128/F128*30.4),TARIFA,2)-VLOOKUP((H128/F128*30.4),SUBSIDIO,2))/30.4*F128,2),0),0)))</f>
        <v>92.4</v>
      </c>
      <c r="K128" s="88">
        <f>J128</f>
        <v>92.4</v>
      </c>
      <c r="L128" s="88">
        <f>H128+I128-K128</f>
        <v>3963.6</v>
      </c>
      <c r="M128" s="92"/>
      <c r="N128" s="341">
        <f t="shared" si="46"/>
        <v>1981.8</v>
      </c>
    </row>
    <row r="129" spans="1:14" ht="44.45" customHeight="1" x14ac:dyDescent="0.2">
      <c r="B129" s="255"/>
      <c r="C129" s="256"/>
      <c r="D129" s="257"/>
      <c r="E129" s="310" t="s">
        <v>33</v>
      </c>
      <c r="F129" s="393"/>
      <c r="G129" s="385"/>
      <c r="H129" s="89">
        <f t="shared" ref="H129:M129" si="48">SUM(H128:H128)</f>
        <v>4056</v>
      </c>
      <c r="I129" s="114">
        <f t="shared" si="48"/>
        <v>0</v>
      </c>
      <c r="J129" s="89">
        <f t="shared" si="48"/>
        <v>92.4</v>
      </c>
      <c r="K129" s="89">
        <f t="shared" si="48"/>
        <v>92.4</v>
      </c>
      <c r="L129" s="89">
        <f t="shared" si="48"/>
        <v>3963.6</v>
      </c>
      <c r="M129" s="93">
        <f t="shared" si="48"/>
        <v>0</v>
      </c>
      <c r="N129" s="341"/>
    </row>
    <row r="130" spans="1:14" ht="30" customHeight="1" x14ac:dyDescent="0.2">
      <c r="B130" s="386" t="s">
        <v>450</v>
      </c>
      <c r="C130" s="387"/>
      <c r="D130" s="388"/>
      <c r="E130" s="388"/>
      <c r="F130" s="388"/>
      <c r="G130" s="388"/>
      <c r="H130" s="388"/>
      <c r="I130" s="388"/>
      <c r="J130" s="388"/>
      <c r="K130" s="388"/>
      <c r="L130" s="388"/>
      <c r="M130" s="389"/>
      <c r="N130" s="341">
        <f t="shared" si="46"/>
        <v>0</v>
      </c>
    </row>
    <row r="131" spans="1:14" ht="30" customHeight="1" x14ac:dyDescent="0.2">
      <c r="B131" s="255">
        <v>92</v>
      </c>
      <c r="C131" s="256" t="s">
        <v>229</v>
      </c>
      <c r="D131" s="257" t="s">
        <v>451</v>
      </c>
      <c r="E131" s="257" t="s">
        <v>42</v>
      </c>
      <c r="F131" s="258">
        <v>15</v>
      </c>
      <c r="G131" s="271">
        <v>168.34800000000001</v>
      </c>
      <c r="H131" s="88">
        <f>ROUND(F131*G131,2)</f>
        <v>2525.2199999999998</v>
      </c>
      <c r="I131" s="113">
        <v>0</v>
      </c>
      <c r="J131" s="113">
        <v>0</v>
      </c>
      <c r="K131" s="113">
        <v>0</v>
      </c>
      <c r="L131" s="88">
        <f>H131+I131-K131</f>
        <v>2525.2199999999998</v>
      </c>
      <c r="M131" s="92"/>
      <c r="N131" s="341"/>
    </row>
    <row r="132" spans="1:14" s="4" customFormat="1" ht="30" customHeight="1" x14ac:dyDescent="0.2">
      <c r="B132" s="255"/>
      <c r="C132" s="256"/>
      <c r="D132" s="257"/>
      <c r="E132" s="310" t="s">
        <v>33</v>
      </c>
      <c r="F132" s="393"/>
      <c r="G132" s="385"/>
      <c r="H132" s="89">
        <f t="shared" ref="H132:M132" si="49">SUM(H131:H131)</f>
        <v>2525.2199999999998</v>
      </c>
      <c r="I132" s="114">
        <f t="shared" si="49"/>
        <v>0</v>
      </c>
      <c r="J132" s="114">
        <f t="shared" si="49"/>
        <v>0</v>
      </c>
      <c r="K132" s="114">
        <f t="shared" si="49"/>
        <v>0</v>
      </c>
      <c r="L132" s="89">
        <f t="shared" si="49"/>
        <v>2525.2199999999998</v>
      </c>
      <c r="M132" s="93">
        <f t="shared" si="49"/>
        <v>0</v>
      </c>
      <c r="N132" s="341"/>
    </row>
    <row r="133" spans="1:14" s="4" customFormat="1" ht="30" customHeight="1" x14ac:dyDescent="0.2">
      <c r="B133" s="394" t="s">
        <v>83</v>
      </c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6"/>
      <c r="N133" s="46"/>
    </row>
    <row r="134" spans="1:14" s="5" customFormat="1" ht="30" customHeight="1" x14ac:dyDescent="0.2">
      <c r="B134" s="255">
        <v>93</v>
      </c>
      <c r="C134" s="256" t="s">
        <v>229</v>
      </c>
      <c r="D134" s="257" t="s">
        <v>315</v>
      </c>
      <c r="E134" s="257" t="s">
        <v>35</v>
      </c>
      <c r="F134" s="258">
        <v>15</v>
      </c>
      <c r="G134" s="311">
        <v>277.33300000000003</v>
      </c>
      <c r="H134" s="88">
        <f>ROUND(F134*G134,2)</f>
        <v>4160</v>
      </c>
      <c r="I134" s="113">
        <v>0</v>
      </c>
      <c r="J134" s="88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103.71</v>
      </c>
      <c r="K134" s="88">
        <f>J134</f>
        <v>103.71</v>
      </c>
      <c r="L134" s="88">
        <f>H134+I134-K134</f>
        <v>4056.29</v>
      </c>
      <c r="M134" s="92"/>
      <c r="N134" s="341">
        <f>L134/2</f>
        <v>2028.145</v>
      </c>
    </row>
    <row r="135" spans="1:14" s="5" customFormat="1" ht="30" customHeight="1" x14ac:dyDescent="0.2">
      <c r="B135" s="255"/>
      <c r="C135" s="256"/>
      <c r="D135" s="257"/>
      <c r="E135" s="310" t="s">
        <v>33</v>
      </c>
      <c r="F135" s="393"/>
      <c r="G135" s="385"/>
      <c r="H135" s="89">
        <f t="shared" ref="H135:M135" si="50">SUM(H134:H134)</f>
        <v>4160</v>
      </c>
      <c r="I135" s="114">
        <f t="shared" si="50"/>
        <v>0</v>
      </c>
      <c r="J135" s="89">
        <f t="shared" si="50"/>
        <v>103.71</v>
      </c>
      <c r="K135" s="89">
        <f t="shared" si="50"/>
        <v>103.71</v>
      </c>
      <c r="L135" s="89">
        <f t="shared" si="50"/>
        <v>4056.29</v>
      </c>
      <c r="M135" s="93">
        <f t="shared" si="50"/>
        <v>0</v>
      </c>
      <c r="N135" s="46"/>
    </row>
    <row r="136" spans="1:14" ht="30" customHeight="1" x14ac:dyDescent="0.2">
      <c r="B136" s="321"/>
      <c r="C136" s="322"/>
      <c r="D136" s="323"/>
      <c r="E136" s="324"/>
      <c r="F136" s="322"/>
      <c r="G136" s="322"/>
      <c r="H136" s="322"/>
      <c r="I136" s="322"/>
      <c r="J136" s="322"/>
      <c r="K136" s="322"/>
      <c r="L136" s="322"/>
      <c r="M136" s="325"/>
      <c r="N136" s="46"/>
    </row>
    <row r="137" spans="1:14" ht="30" customHeight="1" x14ac:dyDescent="0.2">
      <c r="B137" s="392" t="s">
        <v>96</v>
      </c>
      <c r="C137" s="384"/>
      <c r="D137" s="384"/>
      <c r="E137" s="384"/>
      <c r="F137" s="384"/>
      <c r="G137" s="385"/>
      <c r="H137" s="142">
        <f>H16+H19+H24+H31+H39+H57+H64+H73+H77+H83+H99+H112+H120+H126+H129+H135</f>
        <v>261966.44</v>
      </c>
      <c r="I137" s="142">
        <f>I16+I19+I24+I31+I39+I57+I64+I73+I77+I83+I99+I112+I120+I126+I129+I135</f>
        <v>0</v>
      </c>
      <c r="J137" s="142">
        <f>J16+J19+J24+J31+J39+J57+J64+J73+J77+J83+J99+J112+J120+J126+J129+J135</f>
        <v>5811.6399999999994</v>
      </c>
      <c r="K137" s="142">
        <f>K16+K19+K24+K31+K39+K57+K64+K73+K77+K83+K99+K112+K120+K126+K129+K135</f>
        <v>5811.6399999999994</v>
      </c>
      <c r="L137" s="142">
        <f>L16+L19+L24+L31+L39+L57+L64+L73+L77+L83+L99+L112+L120+L126+L129+L135+L132</f>
        <v>258680.02000000002</v>
      </c>
      <c r="M137" s="142"/>
      <c r="N137" s="46">
        <f>SUM(N7:N136)</f>
        <v>78568.60000000002</v>
      </c>
    </row>
    <row r="138" spans="1:14" ht="30" customHeight="1" x14ac:dyDescent="0.2">
      <c r="B138" s="260"/>
      <c r="D138" s="261"/>
      <c r="E138" s="262"/>
      <c r="F138" s="263"/>
      <c r="G138" s="263"/>
      <c r="H138" s="70"/>
      <c r="I138" s="70"/>
      <c r="J138" s="70"/>
      <c r="K138" s="70"/>
      <c r="L138" s="70"/>
      <c r="M138" s="94"/>
      <c r="N138" s="46"/>
    </row>
    <row r="139" spans="1:14" ht="30" customHeight="1" x14ac:dyDescent="0.2">
      <c r="B139" s="260"/>
      <c r="D139" s="261"/>
      <c r="E139" s="262"/>
      <c r="F139" s="263"/>
      <c r="G139" s="263"/>
      <c r="H139" s="70"/>
      <c r="I139" s="70"/>
      <c r="J139" s="70"/>
      <c r="K139" s="70"/>
      <c r="L139" s="70"/>
      <c r="M139" s="94"/>
      <c r="N139" s="46"/>
    </row>
    <row r="140" spans="1:14" ht="30" customHeight="1" x14ac:dyDescent="0.2">
      <c r="B140" s="260"/>
      <c r="D140" s="261"/>
      <c r="E140" s="262"/>
      <c r="F140" s="263"/>
      <c r="G140" s="263"/>
      <c r="H140" s="70"/>
      <c r="I140" s="70"/>
      <c r="J140" s="70"/>
      <c r="K140" s="70"/>
      <c r="L140" s="70"/>
      <c r="M140" s="94"/>
      <c r="N140" s="46"/>
    </row>
    <row r="141" spans="1:14" s="5" customFormat="1" ht="30" customHeight="1" x14ac:dyDescent="0.2">
      <c r="B141" s="260"/>
      <c r="C141" s="4"/>
      <c r="D141" s="261"/>
      <c r="E141" s="262"/>
      <c r="F141" s="263"/>
      <c r="G141" s="263"/>
      <c r="H141" s="70"/>
      <c r="I141" s="70"/>
      <c r="J141" s="70"/>
      <c r="K141" s="70"/>
      <c r="L141" s="70"/>
      <c r="M141" s="94"/>
      <c r="N141" s="46"/>
    </row>
    <row r="142" spans="1:14" ht="30" customHeight="1" x14ac:dyDescent="0.2">
      <c r="B142" s="264"/>
      <c r="C142" s="51"/>
      <c r="M142" s="95"/>
      <c r="N142" s="49"/>
    </row>
    <row r="143" spans="1:14" ht="30" customHeight="1" x14ac:dyDescent="0.2">
      <c r="B143" s="265" t="s">
        <v>279</v>
      </c>
      <c r="C143" s="143"/>
      <c r="D143" s="391" t="s">
        <v>301</v>
      </c>
      <c r="E143" s="391"/>
      <c r="J143" s="143" t="s">
        <v>178</v>
      </c>
      <c r="K143" s="143"/>
      <c r="M143" s="95"/>
      <c r="N143" s="49"/>
    </row>
    <row r="144" spans="1:14" s="66" customFormat="1" ht="30" customHeight="1" x14ac:dyDescent="0.2">
      <c r="A144" s="39"/>
      <c r="B144" s="266"/>
      <c r="C144" s="90"/>
      <c r="D144" s="391" t="s">
        <v>177</v>
      </c>
      <c r="E144" s="391"/>
      <c r="F144" s="25"/>
      <c r="G144" s="25"/>
      <c r="H144" s="25"/>
      <c r="I144" s="25"/>
      <c r="J144" s="391" t="s">
        <v>177</v>
      </c>
      <c r="K144" s="391"/>
      <c r="L144" s="391"/>
      <c r="M144" s="95"/>
      <c r="N144" s="46"/>
    </row>
    <row r="145" spans="2:14" s="66" customFormat="1" ht="30" customHeight="1" thickBot="1" x14ac:dyDescent="0.25">
      <c r="B145" s="144"/>
      <c r="C145" s="145"/>
      <c r="D145" s="146"/>
      <c r="E145" s="147"/>
      <c r="F145" s="96"/>
      <c r="G145" s="96"/>
      <c r="H145" s="96"/>
      <c r="I145" s="96"/>
      <c r="J145" s="96"/>
      <c r="K145" s="96"/>
      <c r="L145" s="96"/>
      <c r="M145" s="148"/>
      <c r="N145" s="46"/>
    </row>
    <row r="146" spans="2:14" ht="30" customHeight="1" x14ac:dyDescent="0.2">
      <c r="B146" s="71"/>
      <c r="C146" s="71"/>
      <c r="N146" s="47"/>
    </row>
    <row r="147" spans="2:14" ht="31.5" customHeight="1" x14ac:dyDescent="0.2">
      <c r="B147" s="90"/>
      <c r="C147" s="90"/>
      <c r="N147" s="46"/>
    </row>
    <row r="148" spans="2:14" ht="31.5" customHeight="1" x14ac:dyDescent="0.2">
      <c r="B148" s="90"/>
      <c r="C148" s="90"/>
      <c r="J148" s="25" t="s">
        <v>73</v>
      </c>
      <c r="K148" s="110">
        <f>L8+L9+L10+L12+L13+L14+L15+L18+L21+L22+L23+L26+L27+L29+L30+L37+L38+L43+L45+L48+L49+L50+L51+L56+L60+L61+L62+L71+L75+L86+L87+L88+L89+L91+L92+L95+L96+L98+L101+L103+L104+L108+L111+L114+L116+L119+L122+L124+L128+L134+L72+L63+L70+L131</f>
        <v>180847.82000000004</v>
      </c>
      <c r="N148" s="46"/>
    </row>
    <row r="149" spans="2:14" ht="21.75" customHeight="1" x14ac:dyDescent="0.2">
      <c r="B149" s="90"/>
      <c r="C149" s="90"/>
      <c r="J149" s="25" t="s">
        <v>74</v>
      </c>
      <c r="K149" s="110">
        <f>L11+L28+L33+L34+L35+L36+L41+L42+L44+L46+L47+L52+L53+L54+L55+L59+L66+L67+L68+L69+L76+L79+L80+L81+L82+L85+L90+L93+L94+L97+L102+L105+L106+L107+L109+L110+L115+L117+L118+L123+L125</f>
        <v>77832.199999999983</v>
      </c>
      <c r="N149" s="46"/>
    </row>
    <row r="150" spans="2:14" ht="21.75" customHeight="1" x14ac:dyDescent="0.2">
      <c r="B150" s="90"/>
      <c r="C150" s="90"/>
      <c r="K150" s="110"/>
      <c r="L150" s="110">
        <f>BASE!L116</f>
        <v>0</v>
      </c>
      <c r="M150" s="110">
        <f>K150+L150</f>
        <v>0</v>
      </c>
      <c r="N150" s="46"/>
    </row>
    <row r="151" spans="2:14" ht="21.75" customHeight="1" x14ac:dyDescent="0.2">
      <c r="B151" s="90"/>
      <c r="C151" s="90"/>
      <c r="K151" s="110">
        <f>SUM(K148:K150)</f>
        <v>258680.02000000002</v>
      </c>
      <c r="N151" s="31"/>
    </row>
    <row r="152" spans="2:14" ht="21.75" customHeight="1" x14ac:dyDescent="0.2">
      <c r="B152" s="90"/>
      <c r="C152" s="90"/>
      <c r="J152" s="25" t="s">
        <v>185</v>
      </c>
      <c r="K152" s="111">
        <f>K151-L137</f>
        <v>0</v>
      </c>
    </row>
    <row r="153" spans="2:14" ht="21.75" customHeight="1" x14ac:dyDescent="0.2">
      <c r="B153" s="90"/>
      <c r="C153" s="90"/>
    </row>
    <row r="154" spans="2:14" ht="18" customHeight="1" x14ac:dyDescent="0.2"/>
  </sheetData>
  <mergeCells count="41">
    <mergeCell ref="D143:E143"/>
    <mergeCell ref="B84:M84"/>
    <mergeCell ref="B133:M133"/>
    <mergeCell ref="B127:M127"/>
    <mergeCell ref="F129:G129"/>
    <mergeCell ref="B100:M100"/>
    <mergeCell ref="F99:G99"/>
    <mergeCell ref="F112:G112"/>
    <mergeCell ref="F120:G120"/>
    <mergeCell ref="F126:G126"/>
    <mergeCell ref="B113:M113"/>
    <mergeCell ref="B121:M121"/>
    <mergeCell ref="B130:M130"/>
    <mergeCell ref="F132:G132"/>
    <mergeCell ref="D144:E144"/>
    <mergeCell ref="J144:L144"/>
    <mergeCell ref="F19:G19"/>
    <mergeCell ref="B137:G137"/>
    <mergeCell ref="B58:M58"/>
    <mergeCell ref="F57:G57"/>
    <mergeCell ref="F24:G24"/>
    <mergeCell ref="F31:G31"/>
    <mergeCell ref="F135:G135"/>
    <mergeCell ref="F64:G64"/>
    <mergeCell ref="F73:G73"/>
    <mergeCell ref="F77:G77"/>
    <mergeCell ref="B25:M25"/>
    <mergeCell ref="F39:G39"/>
    <mergeCell ref="B32:M32"/>
    <mergeCell ref="B74:M74"/>
    <mergeCell ref="F83:G83"/>
    <mergeCell ref="B65:M65"/>
    <mergeCell ref="E2:J2"/>
    <mergeCell ref="E5:J5"/>
    <mergeCell ref="K5:M5"/>
    <mergeCell ref="D6:I6"/>
    <mergeCell ref="F16:G16"/>
    <mergeCell ref="B17:M17"/>
    <mergeCell ref="B20:M20"/>
    <mergeCell ref="B78:M78"/>
    <mergeCell ref="B40:M40"/>
  </mergeCells>
  <pageMargins left="0.25" right="0.25" top="0.75" bottom="0.75" header="0.3" footer="0.3"/>
  <pageSetup scale="62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43"/>
  <sheetViews>
    <sheetView showGridLines="0" view="pageBreakPreview" topLeftCell="B22" zoomScale="60" zoomScaleNormal="70" workbookViewId="0">
      <selection activeCell="F22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58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31" customWidth="1"/>
    <col min="36" max="36" width="56.42578125" style="5" customWidth="1"/>
    <col min="37" max="37" width="12.28515625" style="120" bestFit="1" customWidth="1"/>
    <col min="38" max="38" width="15.140625" style="118" customWidth="1"/>
    <col min="39" max="16384" width="11.42578125" style="5"/>
  </cols>
  <sheetData>
    <row r="1" spans="1:40" x14ac:dyDescent="0.2">
      <c r="B1" s="5">
        <v>0</v>
      </c>
    </row>
    <row r="3" spans="1:40" x14ac:dyDescent="0.2">
      <c r="B3" s="38"/>
      <c r="C3" s="38"/>
      <c r="D3" s="5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16"/>
      <c r="AJ3" s="38"/>
      <c r="AK3" s="117"/>
    </row>
    <row r="4" spans="1:40" x14ac:dyDescent="0.2">
      <c r="B4" s="38"/>
      <c r="C4" s="38"/>
      <c r="D4" s="5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116"/>
      <c r="AJ4" s="38"/>
      <c r="AK4" s="117"/>
    </row>
    <row r="5" spans="1:40" x14ac:dyDescent="0.2">
      <c r="B5" s="38"/>
      <c r="C5" s="38"/>
      <c r="D5" s="5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116"/>
      <c r="AJ5" s="38"/>
      <c r="AK5" s="117"/>
    </row>
    <row r="6" spans="1:40" x14ac:dyDescent="0.2">
      <c r="B6" s="38"/>
      <c r="C6" s="38"/>
      <c r="D6" s="5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116"/>
      <c r="AJ6" s="38"/>
      <c r="AK6" s="117"/>
    </row>
    <row r="7" spans="1:40" x14ac:dyDescent="0.2">
      <c r="B7" s="38"/>
      <c r="C7" s="38"/>
      <c r="D7" s="55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116"/>
      <c r="AJ7" s="38"/>
      <c r="AK7" s="117"/>
    </row>
    <row r="8" spans="1:40" x14ac:dyDescent="0.2">
      <c r="B8" s="38"/>
      <c r="C8" s="38"/>
      <c r="D8" s="55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116"/>
      <c r="AJ8" s="38"/>
      <c r="AK8" s="117"/>
    </row>
    <row r="9" spans="1:40" ht="30" customHeight="1" x14ac:dyDescent="0.2">
      <c r="B9" s="38"/>
      <c r="C9" s="38"/>
      <c r="D9" s="55"/>
      <c r="E9" s="38"/>
      <c r="F9" s="51" t="s">
        <v>29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116"/>
      <c r="AJ9" s="38"/>
      <c r="AK9" s="117"/>
      <c r="AM9" s="63"/>
      <c r="AN9" s="5" t="s">
        <v>192</v>
      </c>
    </row>
    <row r="10" spans="1:40" x14ac:dyDescent="0.2">
      <c r="B10" s="38"/>
      <c r="C10" s="38"/>
      <c r="D10" s="5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116"/>
      <c r="AJ10" s="38"/>
      <c r="AK10" s="117"/>
      <c r="AM10" s="119"/>
      <c r="AN10" s="5" t="s">
        <v>193</v>
      </c>
    </row>
    <row r="11" spans="1:40" s="29" customFormat="1" ht="15" x14ac:dyDescent="0.2">
      <c r="A11" s="5"/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38"/>
      <c r="AK11" s="117"/>
      <c r="AL11" s="120"/>
    </row>
    <row r="12" spans="1:40" s="29" customFormat="1" ht="15" x14ac:dyDescent="0.2">
      <c r="A12" s="5"/>
      <c r="B12" s="404" t="s">
        <v>443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38"/>
      <c r="AK12" s="117"/>
      <c r="AL12" s="120"/>
    </row>
    <row r="13" spans="1:40" s="29" customFormat="1" ht="28.5" customHeight="1" x14ac:dyDescent="0.2">
      <c r="A13" s="5"/>
      <c r="B13" s="37"/>
      <c r="C13" s="37"/>
      <c r="D13" s="56"/>
      <c r="E13" s="37"/>
      <c r="F13" s="36" t="s">
        <v>100</v>
      </c>
      <c r="G13" s="36" t="s">
        <v>1</v>
      </c>
      <c r="H13" s="405" t="s">
        <v>0</v>
      </c>
      <c r="I13" s="405"/>
      <c r="J13" s="405"/>
      <c r="K13" s="405"/>
      <c r="L13" s="405"/>
      <c r="M13" s="405"/>
      <c r="N13" s="405"/>
      <c r="O13" s="405"/>
      <c r="P13" s="36"/>
      <c r="Q13" s="36" t="s">
        <v>194</v>
      </c>
      <c r="R13" s="36"/>
      <c r="S13" s="406" t="s">
        <v>195</v>
      </c>
      <c r="T13" s="406"/>
      <c r="U13" s="406"/>
      <c r="V13" s="406"/>
      <c r="W13" s="406"/>
      <c r="X13" s="406"/>
      <c r="Y13" s="36" t="s">
        <v>196</v>
      </c>
      <c r="Z13" s="36" t="s">
        <v>3</v>
      </c>
      <c r="AA13" s="36"/>
      <c r="AB13" s="407" t="s">
        <v>197</v>
      </c>
      <c r="AC13" s="406" t="s">
        <v>198</v>
      </c>
      <c r="AD13" s="406"/>
      <c r="AE13" s="406"/>
      <c r="AF13" s="406"/>
      <c r="AG13" s="406"/>
      <c r="AH13" s="406"/>
      <c r="AI13" s="408" t="s">
        <v>191</v>
      </c>
      <c r="AJ13" s="37"/>
      <c r="AK13" s="117"/>
      <c r="AL13" s="120"/>
    </row>
    <row r="14" spans="1:40" s="29" customFormat="1" x14ac:dyDescent="0.2">
      <c r="A14" s="5"/>
      <c r="B14" s="36" t="s">
        <v>101</v>
      </c>
      <c r="C14" s="36" t="s">
        <v>229</v>
      </c>
      <c r="D14" s="60" t="s">
        <v>14</v>
      </c>
      <c r="E14" s="36" t="s">
        <v>27</v>
      </c>
      <c r="F14" s="41" t="s">
        <v>15</v>
      </c>
      <c r="G14" s="36" t="s">
        <v>16</v>
      </c>
      <c r="H14" s="407" t="s">
        <v>75</v>
      </c>
      <c r="I14" s="36" t="s">
        <v>199</v>
      </c>
      <c r="J14" s="36" t="s">
        <v>199</v>
      </c>
      <c r="K14" s="36" t="s">
        <v>200</v>
      </c>
      <c r="L14" s="36" t="s">
        <v>194</v>
      </c>
      <c r="M14" s="36" t="s">
        <v>201</v>
      </c>
      <c r="N14" s="407" t="s">
        <v>202</v>
      </c>
      <c r="O14" s="407" t="s">
        <v>102</v>
      </c>
      <c r="P14" s="36"/>
      <c r="Q14" s="36" t="s">
        <v>203</v>
      </c>
      <c r="R14" s="36" t="s">
        <v>204</v>
      </c>
      <c r="S14" s="36" t="s">
        <v>5</v>
      </c>
      <c r="T14" s="36" t="s">
        <v>205</v>
      </c>
      <c r="U14" s="36" t="s">
        <v>206</v>
      </c>
      <c r="V14" s="36" t="s">
        <v>207</v>
      </c>
      <c r="W14" s="36" t="s">
        <v>7</v>
      </c>
      <c r="X14" s="36" t="s">
        <v>3</v>
      </c>
      <c r="Y14" s="36" t="s">
        <v>208</v>
      </c>
      <c r="Z14" s="36" t="s">
        <v>209</v>
      </c>
      <c r="AA14" s="36"/>
      <c r="AB14" s="407"/>
      <c r="AC14" s="36" t="s">
        <v>210</v>
      </c>
      <c r="AD14" s="36" t="s">
        <v>211</v>
      </c>
      <c r="AE14" s="36" t="s">
        <v>196</v>
      </c>
      <c r="AF14" s="36" t="s">
        <v>212</v>
      </c>
      <c r="AG14" s="112" t="s">
        <v>213</v>
      </c>
      <c r="AH14" s="407" t="s">
        <v>214</v>
      </c>
      <c r="AI14" s="408"/>
      <c r="AJ14" s="37"/>
      <c r="AK14" s="117"/>
      <c r="AL14" s="120"/>
    </row>
    <row r="15" spans="1:40" s="29" customFormat="1" ht="16.5" customHeight="1" x14ac:dyDescent="0.2">
      <c r="A15" s="5"/>
      <c r="B15" s="36"/>
      <c r="C15" s="36"/>
      <c r="D15" s="60"/>
      <c r="E15" s="36"/>
      <c r="F15" s="36"/>
      <c r="G15" s="36"/>
      <c r="H15" s="407"/>
      <c r="I15" s="36" t="s">
        <v>215</v>
      </c>
      <c r="J15" s="36" t="s">
        <v>216</v>
      </c>
      <c r="K15" s="36"/>
      <c r="L15" s="36" t="s">
        <v>203</v>
      </c>
      <c r="M15" s="36" t="s">
        <v>217</v>
      </c>
      <c r="N15" s="407"/>
      <c r="O15" s="407"/>
      <c r="P15" s="36"/>
      <c r="Q15" s="36" t="s">
        <v>218</v>
      </c>
      <c r="R15" s="36" t="s">
        <v>219</v>
      </c>
      <c r="S15" s="36" t="s">
        <v>6</v>
      </c>
      <c r="T15" s="36" t="s">
        <v>220</v>
      </c>
      <c r="U15" s="36" t="s">
        <v>220</v>
      </c>
      <c r="V15" s="36" t="s">
        <v>221</v>
      </c>
      <c r="W15" s="36" t="s">
        <v>8</v>
      </c>
      <c r="X15" s="36" t="s">
        <v>222</v>
      </c>
      <c r="Y15" s="36" t="s">
        <v>12</v>
      </c>
      <c r="Z15" s="36" t="s">
        <v>223</v>
      </c>
      <c r="AA15" s="36"/>
      <c r="AB15" s="407"/>
      <c r="AC15" s="36"/>
      <c r="AD15" s="36"/>
      <c r="AE15" s="36" t="s">
        <v>224</v>
      </c>
      <c r="AF15" s="36" t="s">
        <v>225</v>
      </c>
      <c r="AG15" s="36"/>
      <c r="AH15" s="407"/>
      <c r="AI15" s="408"/>
      <c r="AJ15" s="36" t="s">
        <v>189</v>
      </c>
      <c r="AK15" s="117"/>
      <c r="AL15" s="120"/>
    </row>
    <row r="16" spans="1:40" s="29" customFormat="1" ht="43.5" customHeight="1" x14ac:dyDescent="0.2">
      <c r="A16" s="5"/>
      <c r="B16" s="37">
        <v>1</v>
      </c>
      <c r="C16" s="37" t="s">
        <v>346</v>
      </c>
      <c r="D16" s="302" t="s">
        <v>31</v>
      </c>
      <c r="E16" s="278" t="s">
        <v>30</v>
      </c>
      <c r="F16" s="278">
        <v>15</v>
      </c>
      <c r="G16" s="287">
        <v>106.133</v>
      </c>
      <c r="H16" s="88">
        <f t="shared" ref="H16:H22" si="0">ROUND(F16*G16,2)</f>
        <v>1592</v>
      </c>
      <c r="I16" s="303">
        <v>0</v>
      </c>
      <c r="J16" s="303">
        <f t="shared" ref="J16:J22" si="1">I16</f>
        <v>0</v>
      </c>
      <c r="K16" s="303">
        <v>0</v>
      </c>
      <c r="L16" s="303">
        <v>0</v>
      </c>
      <c r="M16" s="303">
        <v>0</v>
      </c>
      <c r="N16" s="303">
        <v>0</v>
      </c>
      <c r="O16" s="115">
        <f t="shared" ref="O16:O22" si="2">SUM(H16:N16)</f>
        <v>1592</v>
      </c>
      <c r="P16" s="304"/>
      <c r="Q16" s="115">
        <f t="shared" ref="Q16:Q22" si="3">IF(G16=47.16,0,IF(G16&gt;47.16,L16*0.5,0))</f>
        <v>0</v>
      </c>
      <c r="R16" s="115">
        <f t="shared" ref="R16:R22" si="4">H16+I16+J16+M16+Q16+K16</f>
        <v>1592</v>
      </c>
      <c r="S16" s="115">
        <v>318.01</v>
      </c>
      <c r="T16" s="115">
        <f t="shared" ref="T16:T22" si="5">R16-S16</f>
        <v>1273.99</v>
      </c>
      <c r="U16" s="305">
        <v>6.4000000000000001E-2</v>
      </c>
      <c r="V16" s="115">
        <f t="shared" ref="V16:V22" si="6">T16*U16</f>
        <v>81.535359999999997</v>
      </c>
      <c r="W16" s="115">
        <v>6.15</v>
      </c>
      <c r="X16" s="115">
        <f t="shared" ref="X16:X22" si="7">V16+W16</f>
        <v>87.685360000000003</v>
      </c>
      <c r="Y16" s="115">
        <v>200.7</v>
      </c>
      <c r="Z16" s="115">
        <f t="shared" ref="Z16:Z22" si="8">X16-Y16</f>
        <v>-113.01463999999999</v>
      </c>
      <c r="AA16" s="306"/>
      <c r="AB16" s="115">
        <v>0</v>
      </c>
      <c r="AC16" s="115">
        <f t="shared" ref="AC16:AC22" si="9">IF(Z16&lt;0,0,Z16)</f>
        <v>0</v>
      </c>
      <c r="AD16" s="115">
        <v>0</v>
      </c>
      <c r="AE16" s="303">
        <v>0</v>
      </c>
      <c r="AF16" s="303">
        <v>0</v>
      </c>
      <c r="AG16" s="307">
        <v>0</v>
      </c>
      <c r="AH16" s="115">
        <f t="shared" ref="AH16:AH22" si="10">SUM(AC16:AG16)</f>
        <v>0</v>
      </c>
      <c r="AI16" s="308">
        <f t="shared" ref="AI16:AI22" si="11">O16+AB16-AH16</f>
        <v>1592</v>
      </c>
      <c r="AJ16" s="115"/>
      <c r="AK16" s="48"/>
      <c r="AL16" s="121"/>
      <c r="AM16" s="122"/>
    </row>
    <row r="17" spans="1:39" s="29" customFormat="1" ht="43.5" customHeight="1" x14ac:dyDescent="0.2">
      <c r="A17" s="5"/>
      <c r="B17" s="37">
        <v>2</v>
      </c>
      <c r="C17" s="37" t="s">
        <v>229</v>
      </c>
      <c r="D17" s="302" t="s">
        <v>154</v>
      </c>
      <c r="E17" s="278" t="s">
        <v>30</v>
      </c>
      <c r="F17" s="278">
        <v>15</v>
      </c>
      <c r="G17" s="287">
        <v>106.133</v>
      </c>
      <c r="H17" s="88">
        <f t="shared" si="0"/>
        <v>1592</v>
      </c>
      <c r="I17" s="303">
        <v>0</v>
      </c>
      <c r="J17" s="303">
        <f t="shared" si="1"/>
        <v>0</v>
      </c>
      <c r="K17" s="303">
        <v>0</v>
      </c>
      <c r="L17" s="303">
        <v>0</v>
      </c>
      <c r="M17" s="303">
        <v>0</v>
      </c>
      <c r="N17" s="303">
        <v>0</v>
      </c>
      <c r="O17" s="115">
        <f t="shared" si="2"/>
        <v>1592</v>
      </c>
      <c r="P17" s="304"/>
      <c r="Q17" s="115">
        <f t="shared" si="3"/>
        <v>0</v>
      </c>
      <c r="R17" s="115">
        <f t="shared" si="4"/>
        <v>1592</v>
      </c>
      <c r="S17" s="115">
        <v>318.01</v>
      </c>
      <c r="T17" s="115">
        <f t="shared" si="5"/>
        <v>1273.99</v>
      </c>
      <c r="U17" s="305">
        <v>6.4000000000000001E-2</v>
      </c>
      <c r="V17" s="115">
        <f t="shared" si="6"/>
        <v>81.535359999999997</v>
      </c>
      <c r="W17" s="115">
        <v>6.15</v>
      </c>
      <c r="X17" s="115">
        <f t="shared" si="7"/>
        <v>87.685360000000003</v>
      </c>
      <c r="Y17" s="115">
        <v>200.7</v>
      </c>
      <c r="Z17" s="115">
        <f t="shared" si="8"/>
        <v>-113.01463999999999</v>
      </c>
      <c r="AA17" s="306"/>
      <c r="AB17" s="115">
        <v>0</v>
      </c>
      <c r="AC17" s="115">
        <f t="shared" si="9"/>
        <v>0</v>
      </c>
      <c r="AD17" s="115">
        <v>0</v>
      </c>
      <c r="AE17" s="303">
        <v>0</v>
      </c>
      <c r="AF17" s="303">
        <v>0</v>
      </c>
      <c r="AG17" s="307">
        <v>0</v>
      </c>
      <c r="AH17" s="115">
        <f t="shared" si="10"/>
        <v>0</v>
      </c>
      <c r="AI17" s="308">
        <f t="shared" si="11"/>
        <v>1592</v>
      </c>
      <c r="AJ17" s="115"/>
      <c r="AK17" s="48"/>
      <c r="AL17" s="121"/>
      <c r="AM17" s="122"/>
    </row>
    <row r="18" spans="1:39" s="29" customFormat="1" ht="43.5" customHeight="1" x14ac:dyDescent="0.2">
      <c r="A18" s="5"/>
      <c r="B18" s="37">
        <v>3</v>
      </c>
      <c r="C18" s="37" t="s">
        <v>229</v>
      </c>
      <c r="D18" s="302" t="s">
        <v>67</v>
      </c>
      <c r="E18" s="278" t="s">
        <v>30</v>
      </c>
      <c r="F18" s="278">
        <v>15</v>
      </c>
      <c r="G18" s="287">
        <v>106.133</v>
      </c>
      <c r="H18" s="88">
        <f t="shared" si="0"/>
        <v>1592</v>
      </c>
      <c r="I18" s="303">
        <v>0</v>
      </c>
      <c r="J18" s="303">
        <f t="shared" si="1"/>
        <v>0</v>
      </c>
      <c r="K18" s="303">
        <v>0</v>
      </c>
      <c r="L18" s="303">
        <v>0</v>
      </c>
      <c r="M18" s="303">
        <v>0</v>
      </c>
      <c r="N18" s="303">
        <v>0</v>
      </c>
      <c r="O18" s="115">
        <f t="shared" si="2"/>
        <v>1592</v>
      </c>
      <c r="P18" s="304"/>
      <c r="Q18" s="115">
        <f t="shared" si="3"/>
        <v>0</v>
      </c>
      <c r="R18" s="115">
        <f t="shared" si="4"/>
        <v>1592</v>
      </c>
      <c r="S18" s="115">
        <v>318.01</v>
      </c>
      <c r="T18" s="115">
        <f t="shared" si="5"/>
        <v>1273.99</v>
      </c>
      <c r="U18" s="305">
        <v>6.4000000000000001E-2</v>
      </c>
      <c r="V18" s="115">
        <f t="shared" si="6"/>
        <v>81.535359999999997</v>
      </c>
      <c r="W18" s="115">
        <v>6.15</v>
      </c>
      <c r="X18" s="115">
        <f t="shared" si="7"/>
        <v>87.685360000000003</v>
      </c>
      <c r="Y18" s="115">
        <v>200.7</v>
      </c>
      <c r="Z18" s="115">
        <f t="shared" si="8"/>
        <v>-113.01463999999999</v>
      </c>
      <c r="AA18" s="306"/>
      <c r="AB18" s="115">
        <v>0</v>
      </c>
      <c r="AC18" s="115">
        <f t="shared" si="9"/>
        <v>0</v>
      </c>
      <c r="AD18" s="115">
        <v>0</v>
      </c>
      <c r="AE18" s="303">
        <v>0</v>
      </c>
      <c r="AF18" s="303">
        <v>0</v>
      </c>
      <c r="AG18" s="307">
        <v>0</v>
      </c>
      <c r="AH18" s="115">
        <f t="shared" si="10"/>
        <v>0</v>
      </c>
      <c r="AI18" s="308">
        <f t="shared" si="11"/>
        <v>1592</v>
      </c>
      <c r="AJ18" s="115"/>
      <c r="AK18" s="117"/>
      <c r="AL18" s="120"/>
    </row>
    <row r="19" spans="1:39" s="29" customFormat="1" ht="43.5" customHeight="1" x14ac:dyDescent="0.2">
      <c r="A19" s="5"/>
      <c r="B19" s="37">
        <v>4</v>
      </c>
      <c r="C19" s="37" t="s">
        <v>229</v>
      </c>
      <c r="D19" s="302" t="s">
        <v>32</v>
      </c>
      <c r="E19" s="278" t="s">
        <v>30</v>
      </c>
      <c r="F19" s="278">
        <v>15</v>
      </c>
      <c r="G19" s="287">
        <v>106.133</v>
      </c>
      <c r="H19" s="88">
        <f t="shared" si="0"/>
        <v>1592</v>
      </c>
      <c r="I19" s="303">
        <v>0</v>
      </c>
      <c r="J19" s="303">
        <f t="shared" si="1"/>
        <v>0</v>
      </c>
      <c r="K19" s="303">
        <v>0</v>
      </c>
      <c r="L19" s="303">
        <v>0</v>
      </c>
      <c r="M19" s="303">
        <v>0</v>
      </c>
      <c r="N19" s="303">
        <v>0</v>
      </c>
      <c r="O19" s="115">
        <f t="shared" si="2"/>
        <v>1592</v>
      </c>
      <c r="P19" s="304"/>
      <c r="Q19" s="115">
        <f t="shared" si="3"/>
        <v>0</v>
      </c>
      <c r="R19" s="115">
        <f t="shared" si="4"/>
        <v>1592</v>
      </c>
      <c r="S19" s="115">
        <v>318.01</v>
      </c>
      <c r="T19" s="115">
        <f t="shared" si="5"/>
        <v>1273.99</v>
      </c>
      <c r="U19" s="305">
        <v>6.4000000000000001E-2</v>
      </c>
      <c r="V19" s="115">
        <f t="shared" si="6"/>
        <v>81.535359999999997</v>
      </c>
      <c r="W19" s="115">
        <v>6.15</v>
      </c>
      <c r="X19" s="115">
        <f t="shared" si="7"/>
        <v>87.685360000000003</v>
      </c>
      <c r="Y19" s="115">
        <v>200.7</v>
      </c>
      <c r="Z19" s="115">
        <f t="shared" si="8"/>
        <v>-113.01463999999999</v>
      </c>
      <c r="AA19" s="306"/>
      <c r="AB19" s="115">
        <v>0</v>
      </c>
      <c r="AC19" s="115">
        <f t="shared" si="9"/>
        <v>0</v>
      </c>
      <c r="AD19" s="115">
        <v>0</v>
      </c>
      <c r="AE19" s="303">
        <v>0</v>
      </c>
      <c r="AF19" s="303">
        <v>0</v>
      </c>
      <c r="AG19" s="307">
        <v>0</v>
      </c>
      <c r="AH19" s="115">
        <f t="shared" si="10"/>
        <v>0</v>
      </c>
      <c r="AI19" s="308">
        <f t="shared" si="11"/>
        <v>1592</v>
      </c>
      <c r="AJ19" s="115"/>
      <c r="AK19" s="117"/>
      <c r="AL19" s="120"/>
    </row>
    <row r="20" spans="1:39" s="29" customFormat="1" ht="43.5" customHeight="1" x14ac:dyDescent="0.2">
      <c r="A20" s="5"/>
      <c r="B20" s="37">
        <v>5</v>
      </c>
      <c r="C20" s="37" t="s">
        <v>346</v>
      </c>
      <c r="D20" s="302" t="s">
        <v>69</v>
      </c>
      <c r="E20" s="278" t="s">
        <v>30</v>
      </c>
      <c r="F20" s="278">
        <v>15</v>
      </c>
      <c r="G20" s="287">
        <v>106.133</v>
      </c>
      <c r="H20" s="88">
        <f t="shared" si="0"/>
        <v>1592</v>
      </c>
      <c r="I20" s="303">
        <v>0</v>
      </c>
      <c r="J20" s="303">
        <f t="shared" si="1"/>
        <v>0</v>
      </c>
      <c r="K20" s="303">
        <v>0</v>
      </c>
      <c r="L20" s="303">
        <v>0</v>
      </c>
      <c r="M20" s="303">
        <v>0</v>
      </c>
      <c r="N20" s="303">
        <v>0</v>
      </c>
      <c r="O20" s="115">
        <f t="shared" si="2"/>
        <v>1592</v>
      </c>
      <c r="P20" s="304"/>
      <c r="Q20" s="115">
        <f t="shared" si="3"/>
        <v>0</v>
      </c>
      <c r="R20" s="115">
        <f t="shared" si="4"/>
        <v>1592</v>
      </c>
      <c r="S20" s="115">
        <v>318.01</v>
      </c>
      <c r="T20" s="115">
        <f t="shared" si="5"/>
        <v>1273.99</v>
      </c>
      <c r="U20" s="305">
        <v>6.4000000000000001E-2</v>
      </c>
      <c r="V20" s="115">
        <f t="shared" si="6"/>
        <v>81.535359999999997</v>
      </c>
      <c r="W20" s="115">
        <v>6.15</v>
      </c>
      <c r="X20" s="115">
        <f t="shared" si="7"/>
        <v>87.685360000000003</v>
      </c>
      <c r="Y20" s="115">
        <v>200.7</v>
      </c>
      <c r="Z20" s="115">
        <f t="shared" si="8"/>
        <v>-113.01463999999999</v>
      </c>
      <c r="AA20" s="306"/>
      <c r="AB20" s="115">
        <v>0</v>
      </c>
      <c r="AC20" s="115">
        <f t="shared" si="9"/>
        <v>0</v>
      </c>
      <c r="AD20" s="115">
        <v>0</v>
      </c>
      <c r="AE20" s="303">
        <v>0</v>
      </c>
      <c r="AF20" s="303">
        <v>0</v>
      </c>
      <c r="AG20" s="307">
        <v>0</v>
      </c>
      <c r="AH20" s="115">
        <f t="shared" si="10"/>
        <v>0</v>
      </c>
      <c r="AI20" s="308">
        <f t="shared" si="11"/>
        <v>1592</v>
      </c>
      <c r="AJ20" s="115"/>
      <c r="AK20" s="117"/>
      <c r="AL20" s="120"/>
    </row>
    <row r="21" spans="1:39" s="29" customFormat="1" ht="43.5" customHeight="1" x14ac:dyDescent="0.2">
      <c r="A21" s="5"/>
      <c r="B21" s="37">
        <v>6</v>
      </c>
      <c r="C21" s="37" t="s">
        <v>346</v>
      </c>
      <c r="D21" s="302" t="s">
        <v>113</v>
      </c>
      <c r="E21" s="278" t="s">
        <v>30</v>
      </c>
      <c r="F21" s="278">
        <v>15</v>
      </c>
      <c r="G21" s="287">
        <v>106.133</v>
      </c>
      <c r="H21" s="88">
        <f t="shared" si="0"/>
        <v>1592</v>
      </c>
      <c r="I21" s="303">
        <v>0</v>
      </c>
      <c r="J21" s="303">
        <f t="shared" si="1"/>
        <v>0</v>
      </c>
      <c r="K21" s="303">
        <v>0</v>
      </c>
      <c r="L21" s="303">
        <v>0</v>
      </c>
      <c r="M21" s="303">
        <v>0</v>
      </c>
      <c r="N21" s="303">
        <v>0</v>
      </c>
      <c r="O21" s="115">
        <f t="shared" si="2"/>
        <v>1592</v>
      </c>
      <c r="P21" s="304"/>
      <c r="Q21" s="115">
        <f t="shared" si="3"/>
        <v>0</v>
      </c>
      <c r="R21" s="115">
        <f t="shared" si="4"/>
        <v>1592</v>
      </c>
      <c r="S21" s="115">
        <v>318.01</v>
      </c>
      <c r="T21" s="115">
        <f t="shared" si="5"/>
        <v>1273.99</v>
      </c>
      <c r="U21" s="305">
        <v>6.4000000000000001E-2</v>
      </c>
      <c r="V21" s="115">
        <f t="shared" si="6"/>
        <v>81.535359999999997</v>
      </c>
      <c r="W21" s="115">
        <v>6.15</v>
      </c>
      <c r="X21" s="115">
        <f t="shared" si="7"/>
        <v>87.685360000000003</v>
      </c>
      <c r="Y21" s="115">
        <v>200.7</v>
      </c>
      <c r="Z21" s="115">
        <f t="shared" si="8"/>
        <v>-113.01463999999999</v>
      </c>
      <c r="AA21" s="306"/>
      <c r="AB21" s="115">
        <v>0</v>
      </c>
      <c r="AC21" s="115">
        <f t="shared" si="9"/>
        <v>0</v>
      </c>
      <c r="AD21" s="115">
        <v>0</v>
      </c>
      <c r="AE21" s="303">
        <v>0</v>
      </c>
      <c r="AF21" s="303">
        <v>0</v>
      </c>
      <c r="AG21" s="307">
        <v>0</v>
      </c>
      <c r="AH21" s="115">
        <f t="shared" si="10"/>
        <v>0</v>
      </c>
      <c r="AI21" s="308">
        <f t="shared" si="11"/>
        <v>1592</v>
      </c>
      <c r="AJ21" s="115"/>
      <c r="AK21" s="117"/>
      <c r="AL21" s="120"/>
    </row>
    <row r="22" spans="1:39" s="29" customFormat="1" ht="30.75" customHeight="1" x14ac:dyDescent="0.2">
      <c r="A22" s="5"/>
      <c r="B22" s="37">
        <v>7</v>
      </c>
      <c r="C22" s="37" t="s">
        <v>346</v>
      </c>
      <c r="D22" s="309" t="s">
        <v>94</v>
      </c>
      <c r="E22" s="278" t="s">
        <v>30</v>
      </c>
      <c r="F22" s="37">
        <v>15</v>
      </c>
      <c r="G22" s="287">
        <v>106.133</v>
      </c>
      <c r="H22" s="88">
        <f t="shared" si="0"/>
        <v>1592</v>
      </c>
      <c r="I22" s="303">
        <v>0</v>
      </c>
      <c r="J22" s="303">
        <f t="shared" si="1"/>
        <v>0</v>
      </c>
      <c r="K22" s="303">
        <v>0</v>
      </c>
      <c r="L22" s="303">
        <v>0</v>
      </c>
      <c r="M22" s="303">
        <v>0</v>
      </c>
      <c r="N22" s="303">
        <v>0</v>
      </c>
      <c r="O22" s="115">
        <f t="shared" si="2"/>
        <v>1592</v>
      </c>
      <c r="P22" s="304"/>
      <c r="Q22" s="115">
        <f t="shared" si="3"/>
        <v>0</v>
      </c>
      <c r="R22" s="115">
        <f t="shared" si="4"/>
        <v>1592</v>
      </c>
      <c r="S22" s="115">
        <v>318.01</v>
      </c>
      <c r="T22" s="115">
        <f t="shared" si="5"/>
        <v>1273.99</v>
      </c>
      <c r="U22" s="305">
        <v>6.4000000000000001E-2</v>
      </c>
      <c r="V22" s="115">
        <f t="shared" si="6"/>
        <v>81.535359999999997</v>
      </c>
      <c r="W22" s="115">
        <v>6.15</v>
      </c>
      <c r="X22" s="115">
        <f t="shared" si="7"/>
        <v>87.685360000000003</v>
      </c>
      <c r="Y22" s="115">
        <v>200.7</v>
      </c>
      <c r="Z22" s="115">
        <f t="shared" si="8"/>
        <v>-113.01463999999999</v>
      </c>
      <c r="AA22" s="304"/>
      <c r="AB22" s="115">
        <v>0</v>
      </c>
      <c r="AC22" s="115">
        <f t="shared" si="9"/>
        <v>0</v>
      </c>
      <c r="AD22" s="115">
        <v>0</v>
      </c>
      <c r="AE22" s="303">
        <v>0</v>
      </c>
      <c r="AF22" s="303">
        <v>0</v>
      </c>
      <c r="AG22" s="307">
        <v>0</v>
      </c>
      <c r="AH22" s="115">
        <f t="shared" si="10"/>
        <v>0</v>
      </c>
      <c r="AI22" s="308">
        <f t="shared" si="11"/>
        <v>1592</v>
      </c>
      <c r="AJ22" s="37"/>
      <c r="AK22" s="48"/>
      <c r="AL22" s="121"/>
    </row>
    <row r="23" spans="1:39" s="29" customFormat="1" ht="30.75" customHeight="1" x14ac:dyDescent="0.2">
      <c r="A23" s="5"/>
      <c r="B23" s="37">
        <v>8</v>
      </c>
      <c r="C23" s="37" t="s">
        <v>346</v>
      </c>
      <c r="D23" s="309" t="s">
        <v>287</v>
      </c>
      <c r="E23" s="278" t="s">
        <v>30</v>
      </c>
      <c r="F23" s="37">
        <v>15</v>
      </c>
      <c r="G23" s="287">
        <v>106.133</v>
      </c>
      <c r="H23" s="88">
        <f>ROUND(F23*G23,2)</f>
        <v>1592</v>
      </c>
      <c r="I23" s="303">
        <v>0</v>
      </c>
      <c r="J23" s="303">
        <f>I23</f>
        <v>0</v>
      </c>
      <c r="K23" s="303">
        <v>0</v>
      </c>
      <c r="L23" s="303">
        <v>0</v>
      </c>
      <c r="M23" s="303">
        <v>0</v>
      </c>
      <c r="N23" s="303">
        <v>0</v>
      </c>
      <c r="O23" s="115">
        <f>SUM(H23:N23)</f>
        <v>1592</v>
      </c>
      <c r="P23" s="304"/>
      <c r="Q23" s="115">
        <f>IF(G23=47.16,0,IF(G23&gt;47.16,L23*0.5,0))</f>
        <v>0</v>
      </c>
      <c r="R23" s="115">
        <f>H23+I23+J23+M23+Q23+K23</f>
        <v>1592</v>
      </c>
      <c r="S23" s="115">
        <v>318.01</v>
      </c>
      <c r="T23" s="115">
        <f>R23-S23</f>
        <v>1273.99</v>
      </c>
      <c r="U23" s="305">
        <v>6.4000000000000001E-2</v>
      </c>
      <c r="V23" s="115">
        <f>T23*U23</f>
        <v>81.535359999999997</v>
      </c>
      <c r="W23" s="115">
        <v>6.15</v>
      </c>
      <c r="X23" s="115">
        <f>V23+W23</f>
        <v>87.685360000000003</v>
      </c>
      <c r="Y23" s="115">
        <v>200.7</v>
      </c>
      <c r="Z23" s="115">
        <f>X23-Y23</f>
        <v>-113.01463999999999</v>
      </c>
      <c r="AA23" s="304"/>
      <c r="AB23" s="115">
        <v>0</v>
      </c>
      <c r="AC23" s="115">
        <f>IF(Z23&lt;0,0,Z23)</f>
        <v>0</v>
      </c>
      <c r="AD23" s="115">
        <v>0</v>
      </c>
      <c r="AE23" s="303">
        <v>0</v>
      </c>
      <c r="AF23" s="303">
        <v>0</v>
      </c>
      <c r="AG23" s="307">
        <v>0</v>
      </c>
      <c r="AH23" s="115">
        <f>SUM(AC23:AG23)</f>
        <v>0</v>
      </c>
      <c r="AI23" s="308">
        <f>O23+AB23-AH23</f>
        <v>1592</v>
      </c>
      <c r="AJ23" s="37"/>
      <c r="AK23" s="48"/>
      <c r="AL23" s="121"/>
    </row>
    <row r="24" spans="1:39" x14ac:dyDescent="0.2">
      <c r="B24" s="38"/>
      <c r="C24" s="38"/>
      <c r="D24" s="55"/>
      <c r="E24" s="38"/>
      <c r="F24" s="38"/>
      <c r="G24" s="38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123"/>
      <c r="T24" s="43"/>
      <c r="U24" s="43"/>
      <c r="V24" s="43"/>
      <c r="W24" s="43"/>
      <c r="X24" s="43"/>
      <c r="Y24" s="123"/>
      <c r="Z24" s="43"/>
      <c r="AA24" s="43"/>
      <c r="AB24" s="43"/>
      <c r="AC24" s="43"/>
      <c r="AD24" s="43"/>
      <c r="AE24" s="43"/>
      <c r="AF24" s="43"/>
      <c r="AG24" s="43"/>
      <c r="AH24" s="43"/>
      <c r="AI24" s="124"/>
      <c r="AJ24" s="38"/>
      <c r="AK24" s="117"/>
    </row>
    <row r="25" spans="1:39" ht="16.5" thickBot="1" x14ac:dyDescent="0.25">
      <c r="B25" s="397" t="s">
        <v>17</v>
      </c>
      <c r="C25" s="398"/>
      <c r="D25" s="398"/>
      <c r="E25" s="398"/>
      <c r="F25" s="398"/>
      <c r="G25" s="399"/>
      <c r="H25" s="44">
        <f>SUM(H16:H23)</f>
        <v>12736</v>
      </c>
      <c r="I25" s="44">
        <f t="shared" ref="I25:O25" si="12">SUM(I16:I22)</f>
        <v>0</v>
      </c>
      <c r="J25" s="44">
        <f t="shared" si="12"/>
        <v>0</v>
      </c>
      <c r="K25" s="44">
        <f t="shared" si="12"/>
        <v>0</v>
      </c>
      <c r="L25" s="44">
        <f t="shared" si="12"/>
        <v>0</v>
      </c>
      <c r="M25" s="44">
        <f t="shared" si="12"/>
        <v>0</v>
      </c>
      <c r="N25" s="44">
        <f t="shared" si="12"/>
        <v>0</v>
      </c>
      <c r="O25" s="44">
        <f t="shared" si="12"/>
        <v>11144</v>
      </c>
      <c r="P25" s="44"/>
      <c r="Q25" s="44">
        <f t="shared" ref="Q25:Z25" si="13">SUM(Q16:Q22)</f>
        <v>0</v>
      </c>
      <c r="R25" s="44">
        <f t="shared" si="13"/>
        <v>11144</v>
      </c>
      <c r="S25" s="44">
        <f t="shared" si="13"/>
        <v>2226.0699999999997</v>
      </c>
      <c r="T25" s="44">
        <f t="shared" si="13"/>
        <v>8917.93</v>
      </c>
      <c r="U25" s="44">
        <f t="shared" si="13"/>
        <v>0.44800000000000001</v>
      </c>
      <c r="V25" s="44">
        <f t="shared" si="13"/>
        <v>570.74751999999989</v>
      </c>
      <c r="W25" s="44">
        <f t="shared" si="13"/>
        <v>43.05</v>
      </c>
      <c r="X25" s="44">
        <f t="shared" si="13"/>
        <v>613.79752000000008</v>
      </c>
      <c r="Y25" s="44">
        <f t="shared" si="13"/>
        <v>1404.9</v>
      </c>
      <c r="Z25" s="44">
        <f t="shared" si="13"/>
        <v>-791.1024799999999</v>
      </c>
      <c r="AA25" s="44"/>
      <c r="AB25" s="44">
        <f t="shared" ref="AB25:AH25" si="14">SUM(AB16:AB22)</f>
        <v>0</v>
      </c>
      <c r="AC25" s="44">
        <f t="shared" si="14"/>
        <v>0</v>
      </c>
      <c r="AD25" s="44">
        <f t="shared" si="14"/>
        <v>0</v>
      </c>
      <c r="AE25" s="44">
        <f t="shared" si="14"/>
        <v>0</v>
      </c>
      <c r="AF25" s="44">
        <f t="shared" si="14"/>
        <v>0</v>
      </c>
      <c r="AG25" s="44">
        <f t="shared" si="14"/>
        <v>0</v>
      </c>
      <c r="AH25" s="44">
        <f t="shared" si="14"/>
        <v>0</v>
      </c>
      <c r="AI25" s="125">
        <f>SUM(AI16:AI23)</f>
        <v>12736</v>
      </c>
      <c r="AJ25" s="38"/>
      <c r="AK25" s="117"/>
      <c r="AL25" s="121">
        <f>O25+AB25-AH25</f>
        <v>11144</v>
      </c>
    </row>
    <row r="26" spans="1:39" ht="18" thickTop="1" x14ac:dyDescent="0.2">
      <c r="B26" s="38"/>
      <c r="C26" s="38"/>
      <c r="D26" s="5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116"/>
      <c r="AJ26" s="38"/>
      <c r="AK26" s="117"/>
    </row>
    <row r="27" spans="1:39" x14ac:dyDescent="0.2">
      <c r="B27" s="38"/>
      <c r="C27" s="38"/>
      <c r="D27" s="5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116"/>
      <c r="AJ27" s="38"/>
      <c r="AK27" s="117"/>
    </row>
    <row r="28" spans="1:39" x14ac:dyDescent="0.2">
      <c r="B28" s="38"/>
      <c r="C28" s="38"/>
      <c r="D28" s="5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116"/>
      <c r="AJ28" s="38"/>
      <c r="AK28" s="117"/>
    </row>
    <row r="29" spans="1:39" x14ac:dyDescent="0.2">
      <c r="B29" s="38"/>
      <c r="C29" s="38"/>
      <c r="D29" s="55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116"/>
      <c r="AJ29" s="38"/>
      <c r="AK29" s="117"/>
    </row>
    <row r="30" spans="1:39" x14ac:dyDescent="0.2">
      <c r="B30" s="38"/>
      <c r="C30" s="38"/>
      <c r="D30" s="55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116"/>
      <c r="AJ30" s="38"/>
      <c r="AK30" s="117"/>
    </row>
    <row r="31" spans="1:39" x14ac:dyDescent="0.2">
      <c r="B31" s="38"/>
      <c r="C31" s="38"/>
      <c r="D31" s="55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116"/>
      <c r="AJ31" s="38"/>
      <c r="AK31" s="117"/>
    </row>
    <row r="32" spans="1:39" x14ac:dyDescent="0.2">
      <c r="B32" s="38"/>
      <c r="C32" s="38"/>
      <c r="D32" s="55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116"/>
      <c r="AJ32" s="38"/>
      <c r="AK32" s="117"/>
    </row>
    <row r="33" spans="1:37" x14ac:dyDescent="0.2">
      <c r="B33" s="38"/>
      <c r="C33" s="38"/>
      <c r="D33" s="55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116"/>
      <c r="AJ33" s="38"/>
      <c r="AK33" s="117"/>
    </row>
    <row r="34" spans="1:37" ht="18" thickBot="1" x14ac:dyDescent="0.25">
      <c r="A34" s="5" t="s">
        <v>28</v>
      </c>
      <c r="B34" s="38"/>
      <c r="C34" s="38"/>
      <c r="D34" s="57"/>
      <c r="E34" s="45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45"/>
      <c r="AC34" s="45"/>
      <c r="AD34" s="38"/>
      <c r="AE34" s="38"/>
      <c r="AF34" s="38"/>
      <c r="AG34" s="45"/>
      <c r="AH34" s="45"/>
      <c r="AI34" s="126"/>
      <c r="AJ34" s="45"/>
      <c r="AK34" s="117"/>
    </row>
    <row r="35" spans="1:37" ht="31.5" customHeight="1" x14ac:dyDescent="0.2">
      <c r="B35" s="38"/>
      <c r="C35" s="38"/>
      <c r="D35" s="400" t="s">
        <v>301</v>
      </c>
      <c r="E35" s="400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401" t="s">
        <v>168</v>
      </c>
      <c r="AC35" s="401"/>
      <c r="AD35" s="401"/>
      <c r="AE35" s="401"/>
      <c r="AF35" s="401"/>
      <c r="AG35" s="401"/>
      <c r="AH35" s="401"/>
      <c r="AI35" s="401"/>
      <c r="AJ35" s="401"/>
      <c r="AK35" s="117"/>
    </row>
    <row r="36" spans="1:37" ht="31.5" customHeight="1" x14ac:dyDescent="0.2">
      <c r="B36" s="38"/>
      <c r="C36" s="38"/>
      <c r="D36" s="402" t="s">
        <v>105</v>
      </c>
      <c r="E36" s="402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401" t="s">
        <v>226</v>
      </c>
      <c r="AC36" s="401"/>
      <c r="AD36" s="401"/>
      <c r="AE36" s="401"/>
      <c r="AF36" s="401"/>
      <c r="AG36" s="401"/>
      <c r="AH36" s="401"/>
      <c r="AI36" s="401"/>
      <c r="AJ36" s="401"/>
      <c r="AK36" s="117"/>
    </row>
    <row r="37" spans="1:37" x14ac:dyDescent="0.2">
      <c r="B37" s="46"/>
      <c r="C37" s="46"/>
      <c r="D37" s="55"/>
      <c r="E37" s="46"/>
      <c r="F37" s="46"/>
      <c r="G37" s="46"/>
      <c r="AJ37" s="46"/>
      <c r="AK37" s="128"/>
    </row>
    <row r="38" spans="1:37" x14ac:dyDescent="0.2">
      <c r="B38" s="46"/>
      <c r="C38" s="46"/>
      <c r="D38" s="55"/>
      <c r="E38" s="46"/>
      <c r="F38" s="46"/>
      <c r="G38" s="46"/>
      <c r="AJ38" s="46"/>
      <c r="AK38" s="128"/>
    </row>
    <row r="39" spans="1:37" x14ac:dyDescent="0.2">
      <c r="B39" s="46"/>
      <c r="C39" s="46"/>
      <c r="D39" s="55"/>
      <c r="E39" s="46"/>
      <c r="F39" s="46"/>
      <c r="G39" s="46"/>
      <c r="H39" s="46" t="s">
        <v>73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127">
        <f>AI17+AI18+AI19</f>
        <v>4776</v>
      </c>
      <c r="AJ39" s="46"/>
      <c r="AK39" s="128"/>
    </row>
    <row r="40" spans="1:37" x14ac:dyDescent="0.2">
      <c r="B40" s="46"/>
      <c r="C40" s="46"/>
      <c r="D40" s="55"/>
      <c r="E40" s="46"/>
      <c r="F40" s="46"/>
      <c r="G40" s="46"/>
      <c r="H40" s="46" t="s">
        <v>74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127">
        <f>AI16+AI20+AI21+AI22+AI23</f>
        <v>7960</v>
      </c>
      <c r="AJ40" s="46"/>
      <c r="AK40" s="128"/>
    </row>
    <row r="41" spans="1:37" x14ac:dyDescent="0.2">
      <c r="B41" s="46"/>
      <c r="C41" s="46"/>
      <c r="D41" s="5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127">
        <f>+AI39+AI40</f>
        <v>12736</v>
      </c>
      <c r="AJ41" s="46"/>
      <c r="AK41" s="128"/>
    </row>
    <row r="42" spans="1:37" x14ac:dyDescent="0.2">
      <c r="B42" s="46"/>
      <c r="C42" s="46"/>
      <c r="D42" s="5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129"/>
      <c r="AJ42" s="46"/>
      <c r="AK42" s="128"/>
    </row>
    <row r="43" spans="1:37" x14ac:dyDescent="0.2">
      <c r="AI43" s="130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13D1-2E0D-4262-9CB1-DED7844B0068}">
  <sheetPr>
    <pageSetUpPr fitToPage="1"/>
  </sheetPr>
  <dimension ref="A1:AJ40"/>
  <sheetViews>
    <sheetView topLeftCell="A26" workbookViewId="0">
      <selection activeCell="E26" sqref="E1:E1048576"/>
    </sheetView>
  </sheetViews>
  <sheetFormatPr baseColWidth="10" defaultRowHeight="12.75" x14ac:dyDescent="0.2"/>
  <cols>
    <col min="1" max="1" width="5.85546875" bestFit="1" customWidth="1"/>
    <col min="2" max="2" width="3.7109375" customWidth="1"/>
    <col min="3" max="3" width="26.5703125" customWidth="1"/>
    <col min="4" max="4" width="16.5703125" customWidth="1"/>
    <col min="7" max="7" width="16.140625" bestFit="1" customWidth="1"/>
    <col min="8" max="8" width="33.85546875" customWidth="1"/>
  </cols>
  <sheetData>
    <row r="1" spans="1:36" x14ac:dyDescent="0.2">
      <c r="C1" s="34"/>
      <c r="D1" s="35"/>
      <c r="G1" s="136"/>
    </row>
    <row r="2" spans="1:36" x14ac:dyDescent="0.2">
      <c r="A2" s="38"/>
      <c r="B2" s="38"/>
      <c r="C2" s="42"/>
      <c r="D2" s="42"/>
      <c r="E2" s="38"/>
      <c r="F2" s="38"/>
      <c r="G2" s="132"/>
      <c r="H2" s="38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x14ac:dyDescent="0.2">
      <c r="A3" s="38"/>
      <c r="B3" s="38"/>
      <c r="C3" s="402" t="s">
        <v>345</v>
      </c>
      <c r="D3" s="402"/>
      <c r="E3" s="402"/>
      <c r="F3" s="402"/>
      <c r="G3" s="402"/>
      <c r="H3" s="402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x14ac:dyDescent="0.2">
      <c r="A4" s="38"/>
      <c r="B4" s="38"/>
      <c r="C4" s="42"/>
      <c r="D4" s="42"/>
      <c r="E4" s="38"/>
      <c r="F4" s="38"/>
      <c r="G4" s="132"/>
      <c r="H4" s="38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x14ac:dyDescent="0.2">
      <c r="A5" s="38"/>
      <c r="B5" s="38"/>
      <c r="C5" s="42"/>
      <c r="D5" s="42"/>
      <c r="E5" s="38"/>
      <c r="F5" s="38"/>
      <c r="G5" s="132"/>
      <c r="H5" s="38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</row>
    <row r="6" spans="1:36" x14ac:dyDescent="0.2">
      <c r="A6" s="410" t="s">
        <v>443</v>
      </c>
      <c r="B6" s="410"/>
      <c r="C6" s="410"/>
      <c r="D6" s="410"/>
      <c r="E6" s="410"/>
      <c r="F6" s="410"/>
      <c r="G6" s="410"/>
      <c r="H6" s="410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x14ac:dyDescent="0.2">
      <c r="A7" s="411" t="s">
        <v>101</v>
      </c>
      <c r="B7" s="267"/>
      <c r="C7" s="414" t="s">
        <v>14</v>
      </c>
      <c r="D7" s="414" t="s">
        <v>27</v>
      </c>
      <c r="E7" s="36" t="s">
        <v>100</v>
      </c>
      <c r="F7" s="36" t="s">
        <v>1</v>
      </c>
      <c r="G7" s="417" t="s">
        <v>191</v>
      </c>
      <c r="H7" s="411" t="s">
        <v>189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36" x14ac:dyDescent="0.2">
      <c r="A8" s="412"/>
      <c r="B8" s="268" t="s">
        <v>229</v>
      </c>
      <c r="C8" s="415"/>
      <c r="D8" s="415"/>
      <c r="E8" s="41" t="s">
        <v>15</v>
      </c>
      <c r="F8" s="36" t="s">
        <v>16</v>
      </c>
      <c r="G8" s="418"/>
      <c r="H8" s="412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6" x14ac:dyDescent="0.2">
      <c r="A9" s="413"/>
      <c r="B9" s="269"/>
      <c r="C9" s="416"/>
      <c r="D9" s="416"/>
      <c r="E9" s="36"/>
      <c r="F9" s="36"/>
      <c r="G9" s="419"/>
      <c r="H9" s="413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6" ht="25.5" x14ac:dyDescent="0.2">
      <c r="A10" s="37">
        <v>1</v>
      </c>
      <c r="B10" s="37" t="s">
        <v>346</v>
      </c>
      <c r="C10" s="149" t="s">
        <v>155</v>
      </c>
      <c r="D10" s="245" t="s">
        <v>78</v>
      </c>
      <c r="E10" s="278">
        <v>15</v>
      </c>
      <c r="F10" s="287">
        <v>92.6</v>
      </c>
      <c r="G10" s="150">
        <f>E10*F10</f>
        <v>1389</v>
      </c>
      <c r="H10" s="115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</row>
    <row r="11" spans="1:36" ht="38.25" x14ac:dyDescent="0.2">
      <c r="A11" s="37">
        <v>2</v>
      </c>
      <c r="B11" s="37" t="s">
        <v>346</v>
      </c>
      <c r="C11" s="149" t="s">
        <v>156</v>
      </c>
      <c r="D11" s="245" t="s">
        <v>79</v>
      </c>
      <c r="E11" s="278">
        <v>15</v>
      </c>
      <c r="F11" s="287">
        <v>133.333</v>
      </c>
      <c r="G11" s="150">
        <f t="shared" ref="G11:G26" si="0">E11*F11</f>
        <v>1999.9949999999999</v>
      </c>
      <c r="H11" s="11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</row>
    <row r="12" spans="1:36" ht="25.5" x14ac:dyDescent="0.2">
      <c r="A12" s="37">
        <v>3</v>
      </c>
      <c r="B12" s="37" t="s">
        <v>346</v>
      </c>
      <c r="C12" s="149" t="s">
        <v>328</v>
      </c>
      <c r="D12" s="245" t="s">
        <v>103</v>
      </c>
      <c r="E12" s="278">
        <v>15</v>
      </c>
      <c r="F12" s="287">
        <v>86.733000000000004</v>
      </c>
      <c r="G12" s="150">
        <f t="shared" si="0"/>
        <v>1300.9950000000001</v>
      </c>
      <c r="H12" s="11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1:36" ht="25.5" x14ac:dyDescent="0.2">
      <c r="A13" s="37">
        <v>4</v>
      </c>
      <c r="B13" s="37" t="s">
        <v>346</v>
      </c>
      <c r="C13" s="149" t="s">
        <v>327</v>
      </c>
      <c r="D13" s="245" t="s">
        <v>104</v>
      </c>
      <c r="E13" s="278">
        <v>15</v>
      </c>
      <c r="F13" s="287">
        <v>86.733000000000004</v>
      </c>
      <c r="G13" s="150">
        <f t="shared" si="0"/>
        <v>1300.9950000000001</v>
      </c>
      <c r="H13" s="11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</row>
    <row r="14" spans="1:36" ht="25.5" x14ac:dyDescent="0.2">
      <c r="A14" s="37">
        <v>5</v>
      </c>
      <c r="B14" s="37" t="s">
        <v>229</v>
      </c>
      <c r="C14" s="149" t="s">
        <v>157</v>
      </c>
      <c r="D14" s="245" t="s">
        <v>85</v>
      </c>
      <c r="E14" s="278">
        <v>15</v>
      </c>
      <c r="F14" s="287">
        <v>100</v>
      </c>
      <c r="G14" s="150">
        <f t="shared" si="0"/>
        <v>1500</v>
      </c>
      <c r="H14" s="11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</row>
    <row r="15" spans="1:36" ht="37.5" customHeight="1" x14ac:dyDescent="0.2">
      <c r="A15" s="37">
        <v>6</v>
      </c>
      <c r="B15" s="37" t="s">
        <v>346</v>
      </c>
      <c r="C15" s="149" t="s">
        <v>158</v>
      </c>
      <c r="D15" s="245" t="s">
        <v>107</v>
      </c>
      <c r="E15" s="278">
        <v>15</v>
      </c>
      <c r="F15" s="287">
        <v>65</v>
      </c>
      <c r="G15" s="150">
        <f t="shared" si="0"/>
        <v>975</v>
      </c>
      <c r="H15" s="11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1:36" ht="25.5" x14ac:dyDescent="0.2">
      <c r="A16" s="37">
        <v>7</v>
      </c>
      <c r="B16" s="37" t="s">
        <v>346</v>
      </c>
      <c r="C16" s="283" t="s">
        <v>98</v>
      </c>
      <c r="D16" s="288" t="s">
        <v>99</v>
      </c>
      <c r="E16" s="278">
        <v>15</v>
      </c>
      <c r="F16" s="289">
        <v>88.666600000000003</v>
      </c>
      <c r="G16" s="150">
        <f t="shared" si="0"/>
        <v>1329.999</v>
      </c>
      <c r="H16" s="37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</row>
    <row r="17" spans="1:36" ht="37.5" customHeight="1" x14ac:dyDescent="0.2">
      <c r="A17" s="37">
        <v>8</v>
      </c>
      <c r="B17" s="37" t="s">
        <v>229</v>
      </c>
      <c r="C17" s="283" t="s">
        <v>159</v>
      </c>
      <c r="D17" s="245" t="s">
        <v>106</v>
      </c>
      <c r="E17" s="278">
        <v>15</v>
      </c>
      <c r="F17" s="289">
        <v>64.533000000000001</v>
      </c>
      <c r="G17" s="150">
        <f t="shared" si="0"/>
        <v>967.995</v>
      </c>
      <c r="H17" s="37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</row>
    <row r="18" spans="1:36" ht="25.5" x14ac:dyDescent="0.2">
      <c r="A18" s="37">
        <v>9</v>
      </c>
      <c r="B18" s="37" t="s">
        <v>346</v>
      </c>
      <c r="C18" s="283" t="s">
        <v>317</v>
      </c>
      <c r="D18" s="245"/>
      <c r="E18" s="278">
        <v>15</v>
      </c>
      <c r="F18" s="289">
        <v>40</v>
      </c>
      <c r="G18" s="150">
        <f t="shared" si="0"/>
        <v>600</v>
      </c>
      <c r="H18" s="3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</row>
    <row r="19" spans="1:36" ht="37.5" customHeight="1" x14ac:dyDescent="0.2">
      <c r="A19" s="37">
        <v>10</v>
      </c>
      <c r="B19" s="37" t="s">
        <v>229</v>
      </c>
      <c r="C19" s="283" t="s">
        <v>318</v>
      </c>
      <c r="D19" s="288"/>
      <c r="E19" s="278">
        <v>15</v>
      </c>
      <c r="F19" s="37">
        <v>40</v>
      </c>
      <c r="G19" s="150">
        <f t="shared" si="0"/>
        <v>600</v>
      </c>
      <c r="H19" s="37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</row>
    <row r="20" spans="1:36" ht="38.25" x14ac:dyDescent="0.2">
      <c r="A20" s="37">
        <v>11</v>
      </c>
      <c r="B20" s="290" t="s">
        <v>346</v>
      </c>
      <c r="C20" s="283" t="s">
        <v>190</v>
      </c>
      <c r="D20" s="291" t="s">
        <v>109</v>
      </c>
      <c r="E20" s="292">
        <v>15</v>
      </c>
      <c r="F20" s="293">
        <v>80</v>
      </c>
      <c r="G20" s="150">
        <f t="shared" si="0"/>
        <v>1200</v>
      </c>
      <c r="H20" s="37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</row>
    <row r="21" spans="1:36" ht="37.5" customHeight="1" x14ac:dyDescent="0.2">
      <c r="A21" s="37">
        <v>12</v>
      </c>
      <c r="B21" s="294" t="s">
        <v>346</v>
      </c>
      <c r="C21" s="149" t="s">
        <v>153</v>
      </c>
      <c r="D21" s="295" t="s">
        <v>93</v>
      </c>
      <c r="E21" s="296">
        <v>15</v>
      </c>
      <c r="F21" s="297">
        <v>92.6</v>
      </c>
      <c r="G21" s="150">
        <f t="shared" si="0"/>
        <v>1389</v>
      </c>
      <c r="H21" s="270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</row>
    <row r="22" spans="1:36" ht="37.5" customHeight="1" x14ac:dyDescent="0.2">
      <c r="A22" s="37">
        <v>13</v>
      </c>
      <c r="B22" s="294" t="s">
        <v>229</v>
      </c>
      <c r="C22" s="149" t="s">
        <v>322</v>
      </c>
      <c r="D22" s="295" t="s">
        <v>321</v>
      </c>
      <c r="E22" s="296">
        <v>15</v>
      </c>
      <c r="F22" s="297">
        <v>80</v>
      </c>
      <c r="G22" s="150">
        <f t="shared" si="0"/>
        <v>1200</v>
      </c>
      <c r="H22" s="270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ht="37.5" customHeight="1" x14ac:dyDescent="0.2">
      <c r="A23" s="37">
        <v>14</v>
      </c>
      <c r="B23" s="294" t="s">
        <v>229</v>
      </c>
      <c r="C23" s="149" t="s">
        <v>440</v>
      </c>
      <c r="D23" s="295" t="s">
        <v>228</v>
      </c>
      <c r="E23" s="296">
        <v>15</v>
      </c>
      <c r="F23" s="297">
        <v>129.80000000000001</v>
      </c>
      <c r="G23" s="150">
        <f t="shared" si="0"/>
        <v>1947.0000000000002</v>
      </c>
      <c r="H23" s="270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</row>
    <row r="24" spans="1:36" ht="37.5" customHeight="1" x14ac:dyDescent="0.2">
      <c r="A24" s="37">
        <v>15</v>
      </c>
      <c r="B24" s="298" t="s">
        <v>346</v>
      </c>
      <c r="C24" s="149" t="s">
        <v>160</v>
      </c>
      <c r="D24" s="296" t="s">
        <v>84</v>
      </c>
      <c r="E24" s="296">
        <v>15</v>
      </c>
      <c r="F24" s="299">
        <v>100</v>
      </c>
      <c r="G24" s="150">
        <f t="shared" si="0"/>
        <v>1500</v>
      </c>
      <c r="H24" s="30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</row>
    <row r="25" spans="1:36" ht="37.5" customHeight="1" x14ac:dyDescent="0.2">
      <c r="A25" s="37">
        <v>16</v>
      </c>
      <c r="B25" s="298" t="s">
        <v>346</v>
      </c>
      <c r="C25" s="149" t="s">
        <v>161</v>
      </c>
      <c r="D25" s="301" t="s">
        <v>97</v>
      </c>
      <c r="E25" s="296">
        <v>15</v>
      </c>
      <c r="F25" s="299">
        <v>105.333</v>
      </c>
      <c r="G25" s="150">
        <f t="shared" si="0"/>
        <v>1579.9949999999999</v>
      </c>
      <c r="H25" s="300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1:36" ht="37.5" customHeight="1" x14ac:dyDescent="0.2">
      <c r="A26" s="37">
        <v>17</v>
      </c>
      <c r="B26" s="298" t="s">
        <v>346</v>
      </c>
      <c r="C26" s="149" t="s">
        <v>112</v>
      </c>
      <c r="D26" s="301" t="s">
        <v>111</v>
      </c>
      <c r="E26" s="296">
        <v>15</v>
      </c>
      <c r="F26" s="299">
        <v>80</v>
      </c>
      <c r="G26" s="150">
        <f t="shared" si="0"/>
        <v>1200</v>
      </c>
      <c r="H26" s="300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36" ht="13.5" thickBot="1" x14ac:dyDescent="0.25">
      <c r="A27" s="409" t="s">
        <v>17</v>
      </c>
      <c r="B27" s="357"/>
      <c r="C27" s="357"/>
      <c r="D27" s="357"/>
      <c r="E27" s="357"/>
      <c r="F27" s="52"/>
      <c r="G27" s="135">
        <f>SUM(G10:G26)</f>
        <v>21979.974000000002</v>
      </c>
      <c r="H27" s="38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1:36" ht="13.5" thickTop="1" x14ac:dyDescent="0.2">
      <c r="A28" s="38"/>
      <c r="B28" s="38"/>
      <c r="C28" s="42"/>
      <c r="D28" s="42"/>
      <c r="E28" s="38"/>
      <c r="F28" s="38"/>
      <c r="G28" s="132"/>
      <c r="H28" s="38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</row>
    <row r="29" spans="1:36" ht="13.5" thickBot="1" x14ac:dyDescent="0.25">
      <c r="A29" s="38"/>
      <c r="B29" s="38"/>
      <c r="C29" s="42"/>
      <c r="D29" s="42"/>
      <c r="E29" s="38"/>
      <c r="F29" s="38"/>
      <c r="G29" s="133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</row>
    <row r="30" spans="1:36" x14ac:dyDescent="0.2">
      <c r="A30" s="225" t="s">
        <v>301</v>
      </c>
      <c r="B30" s="225"/>
      <c r="C30" s="225"/>
      <c r="D30" s="42"/>
      <c r="E30" s="40"/>
      <c r="F30" s="40"/>
      <c r="G30" s="401" t="s">
        <v>168</v>
      </c>
      <c r="H30" s="401"/>
    </row>
    <row r="31" spans="1:36" ht="12.95" customHeight="1" x14ac:dyDescent="0.2">
      <c r="A31" s="402" t="s">
        <v>95</v>
      </c>
      <c r="B31" s="402"/>
      <c r="C31" s="402"/>
      <c r="D31" s="42"/>
      <c r="E31" s="38"/>
      <c r="F31" s="38"/>
      <c r="G31" s="402" t="s">
        <v>80</v>
      </c>
      <c r="H31" s="402"/>
    </row>
    <row r="32" spans="1:36" x14ac:dyDescent="0.2">
      <c r="A32" s="46"/>
      <c r="B32" s="46"/>
      <c r="C32" s="42"/>
      <c r="D32" s="49"/>
      <c r="E32" s="46"/>
      <c r="F32" s="46"/>
      <c r="G32" s="134"/>
      <c r="H32" s="46"/>
    </row>
    <row r="33" spans="1:8" x14ac:dyDescent="0.2">
      <c r="A33" s="46"/>
      <c r="B33" s="46"/>
      <c r="C33" s="42"/>
      <c r="D33" s="49"/>
      <c r="E33" s="46"/>
      <c r="F33" s="46"/>
      <c r="G33" s="134"/>
      <c r="H33" s="46"/>
    </row>
    <row r="34" spans="1:8" x14ac:dyDescent="0.2">
      <c r="A34" s="46"/>
      <c r="B34" s="46"/>
      <c r="C34" s="42"/>
      <c r="D34" s="49"/>
      <c r="E34" s="46"/>
      <c r="F34" s="46" t="s">
        <v>351</v>
      </c>
      <c r="G34" s="134">
        <f>G14+G17+G19+G22+G23</f>
        <v>6214.9949999999999</v>
      </c>
      <c r="H34" s="46"/>
    </row>
    <row r="35" spans="1:8" x14ac:dyDescent="0.2">
      <c r="A35" s="46"/>
      <c r="B35" s="46"/>
      <c r="C35" s="42"/>
      <c r="D35" s="49"/>
      <c r="E35" s="46"/>
      <c r="F35" s="46"/>
      <c r="G35" s="134"/>
      <c r="H35" s="46"/>
    </row>
    <row r="36" spans="1:8" x14ac:dyDescent="0.2">
      <c r="F36" s="5" t="s">
        <v>352</v>
      </c>
      <c r="G36" s="226">
        <f>G10+G11+G12+G13+G15+G18+G20+G21+G25+G26+G16+G24</f>
        <v>15764.978999999999</v>
      </c>
    </row>
    <row r="38" spans="1:8" x14ac:dyDescent="0.2">
      <c r="F38" s="5" t="s">
        <v>354</v>
      </c>
      <c r="G38" s="226">
        <f>G34+G36</f>
        <v>21979.973999999998</v>
      </c>
    </row>
    <row r="40" spans="1:8" x14ac:dyDescent="0.2">
      <c r="F40" s="5" t="s">
        <v>353</v>
      </c>
      <c r="G40" s="226">
        <f>G27-G38</f>
        <v>0</v>
      </c>
    </row>
  </sheetData>
  <mergeCells count="11">
    <mergeCell ref="G30:H30"/>
    <mergeCell ref="A31:C31"/>
    <mergeCell ref="G31:H31"/>
    <mergeCell ref="A27:E27"/>
    <mergeCell ref="C3:H3"/>
    <mergeCell ref="A6:H6"/>
    <mergeCell ref="A7:A9"/>
    <mergeCell ref="C7:C9"/>
    <mergeCell ref="D7:D9"/>
    <mergeCell ref="G7:G9"/>
    <mergeCell ref="H7:H9"/>
  </mergeCells>
  <pageMargins left="0.7" right="0.7" top="0.75" bottom="0.75" header="0.3" footer="0.3"/>
  <pageSetup paperSize="9" scale="91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4"/>
  <sheetViews>
    <sheetView showGridLines="0" tabSelected="1" topLeftCell="A16" zoomScale="84" zoomScaleNormal="84" workbookViewId="0">
      <selection activeCell="D16" sqref="D1:D1048576"/>
    </sheetView>
  </sheetViews>
  <sheetFormatPr baseColWidth="10" defaultColWidth="11.42578125" defaultRowHeight="12.75" x14ac:dyDescent="0.2"/>
  <cols>
    <col min="1" max="1" width="2.7109375" style="5" customWidth="1"/>
    <col min="2" max="3" width="4.5703125" style="5" customWidth="1"/>
    <col min="4" max="4" width="14.42578125" style="62" bestFit="1" customWidth="1"/>
    <col min="5" max="5" width="5" style="25" customWidth="1"/>
    <col min="6" max="6" width="10.28515625" style="25" customWidth="1"/>
    <col min="7" max="7" width="12.7109375" style="25" customWidth="1"/>
    <col min="8" max="8" width="9.7109375" style="111" customWidth="1"/>
    <col min="9" max="9" width="11.5703125" style="215" customWidth="1"/>
    <col min="10" max="10" width="11" style="25" customWidth="1"/>
    <col min="11" max="11" width="12.85546875" style="25" customWidth="1"/>
    <col min="12" max="12" width="30" style="25" customWidth="1"/>
    <col min="13" max="16384" width="11.42578125" style="5"/>
  </cols>
  <sheetData>
    <row r="1" spans="1:12" x14ac:dyDescent="0.2">
      <c r="B1" s="153"/>
      <c r="C1" s="190"/>
      <c r="D1" s="99"/>
      <c r="E1" s="100"/>
      <c r="F1" s="100"/>
      <c r="G1" s="100"/>
      <c r="H1" s="191"/>
      <c r="I1" s="220"/>
      <c r="J1" s="100"/>
      <c r="K1" s="100"/>
      <c r="L1" s="101"/>
    </row>
    <row r="2" spans="1:12" ht="36" customHeight="1" x14ac:dyDescent="0.2">
      <c r="B2" s="192"/>
      <c r="C2" s="193"/>
      <c r="D2" s="371" t="s">
        <v>183</v>
      </c>
      <c r="E2" s="371"/>
      <c r="F2" s="371"/>
      <c r="G2" s="371"/>
      <c r="H2" s="371"/>
      <c r="I2" s="371"/>
      <c r="J2" s="103"/>
      <c r="K2" s="103"/>
      <c r="L2" s="104"/>
    </row>
    <row r="3" spans="1:12" x14ac:dyDescent="0.2">
      <c r="B3" s="192"/>
      <c r="C3" s="193"/>
      <c r="D3" s="105"/>
      <c r="E3" s="103"/>
      <c r="F3" s="103"/>
      <c r="G3" s="103"/>
      <c r="H3" s="194"/>
      <c r="I3" s="199"/>
      <c r="J3" s="103"/>
      <c r="K3" s="103"/>
      <c r="L3" s="104"/>
    </row>
    <row r="4" spans="1:12" x14ac:dyDescent="0.2">
      <c r="B4" s="192"/>
      <c r="C4" s="193"/>
      <c r="D4" s="105"/>
      <c r="E4" s="103"/>
      <c r="F4" s="103"/>
      <c r="G4" s="103"/>
      <c r="H4" s="194"/>
      <c r="I4" s="199"/>
      <c r="J4" s="103"/>
      <c r="K4" s="103"/>
      <c r="L4" s="104"/>
    </row>
    <row r="5" spans="1:12" ht="28.5" customHeight="1" x14ac:dyDescent="0.2">
      <c r="B5" s="106"/>
      <c r="C5" s="38"/>
      <c r="D5" s="371" t="s">
        <v>250</v>
      </c>
      <c r="E5" s="371"/>
      <c r="F5" s="371"/>
      <c r="G5" s="371"/>
      <c r="H5" s="371"/>
      <c r="I5" s="371"/>
      <c r="J5" s="373"/>
      <c r="K5" s="373"/>
      <c r="L5" s="374"/>
    </row>
    <row r="6" spans="1:12" ht="31.5" customHeight="1" thickBot="1" x14ac:dyDescent="0.25">
      <c r="B6" s="107"/>
      <c r="C6" s="38"/>
      <c r="D6" s="420"/>
      <c r="E6" s="420"/>
      <c r="F6" s="420"/>
      <c r="G6" s="420"/>
      <c r="H6" s="420"/>
      <c r="I6" s="420"/>
      <c r="J6" s="108"/>
      <c r="K6" s="108"/>
      <c r="L6" s="109"/>
    </row>
    <row r="7" spans="1:12" s="29" customFormat="1" ht="37.5" customHeight="1" x14ac:dyDescent="0.2">
      <c r="A7" s="5"/>
      <c r="B7" s="80" t="s">
        <v>176</v>
      </c>
      <c r="C7" s="140" t="s">
        <v>229</v>
      </c>
      <c r="D7" s="81" t="s">
        <v>171</v>
      </c>
      <c r="E7" s="81" t="s">
        <v>174</v>
      </c>
      <c r="F7" s="81" t="s">
        <v>175</v>
      </c>
      <c r="G7" s="82" t="s">
        <v>172</v>
      </c>
      <c r="H7" s="195" t="s">
        <v>187</v>
      </c>
      <c r="I7" s="81" t="s">
        <v>188</v>
      </c>
      <c r="J7" s="83" t="s">
        <v>173</v>
      </c>
      <c r="K7" s="83" t="s">
        <v>182</v>
      </c>
      <c r="L7" s="91" t="s">
        <v>181</v>
      </c>
    </row>
    <row r="8" spans="1:12" s="29" customFormat="1" ht="30" customHeight="1" x14ac:dyDescent="0.2">
      <c r="A8" s="5"/>
      <c r="B8" s="275">
        <v>1</v>
      </c>
      <c r="C8" s="276" t="s">
        <v>346</v>
      </c>
      <c r="D8" s="78" t="s">
        <v>35</v>
      </c>
      <c r="E8" s="59">
        <v>15</v>
      </c>
      <c r="F8" s="285">
        <v>638.06640000000004</v>
      </c>
      <c r="G8" s="196">
        <f>ROUND(E8*F8,2)</f>
        <v>9571</v>
      </c>
      <c r="H8" s="217">
        <v>0</v>
      </c>
      <c r="I8" s="218">
        <f t="shared" ref="I8:I27" si="0">IF(F8&lt;=248.93,0,(IFERROR(IF(ROUND((((G8/E8*30.4)-VLOOKUP((G8/E8*30.4),TARIFA,1))*VLOOKUP((G8/E8*30.4),TARIFA,3)+VLOOKUP((G8/E8*30.4),TARIFA,2)-VLOOKUP((G8/E8*30.4),SUBSIDIO,2))/30.4*E8,2)&gt;0,ROUND((((G8/E8*30.4)-VLOOKUP((G8/E8*30.4),TARIFA,1))*VLOOKUP((G8/E8*30.4),TARIFA,3)+VLOOKUP((G8/E8*30.4),TARIFA,2)-VLOOKUP((G8/E8*30.4),SUBSIDIO,2))/30.4*E8,2),0),0)))</f>
        <v>1221.3399999999999</v>
      </c>
      <c r="J8" s="197">
        <f>I8</f>
        <v>1221.3399999999999</v>
      </c>
      <c r="K8" s="197">
        <f>G8+H8-J8</f>
        <v>8349.66</v>
      </c>
      <c r="L8" s="198"/>
    </row>
    <row r="9" spans="1:12" s="29" customFormat="1" ht="30" customHeight="1" x14ac:dyDescent="0.2">
      <c r="A9" s="5"/>
      <c r="B9" s="275">
        <v>2</v>
      </c>
      <c r="C9" s="276" t="s">
        <v>346</v>
      </c>
      <c r="D9" s="78" t="s">
        <v>251</v>
      </c>
      <c r="E9" s="59">
        <v>15</v>
      </c>
      <c r="F9" s="285">
        <v>471.46640000000002</v>
      </c>
      <c r="G9" s="196">
        <f t="shared" ref="G9:G27" si="1">ROUND(E9*F9,2)</f>
        <v>7072</v>
      </c>
      <c r="H9" s="217">
        <v>0</v>
      </c>
      <c r="I9" s="218">
        <f t="shared" si="0"/>
        <v>707.16</v>
      </c>
      <c r="J9" s="197">
        <f t="shared" ref="J9:J27" si="2">I9</f>
        <v>707.16</v>
      </c>
      <c r="K9" s="197">
        <f t="shared" ref="K9:K27" si="3">G9+H9-J9</f>
        <v>6364.84</v>
      </c>
      <c r="L9" s="198"/>
    </row>
    <row r="10" spans="1:12" s="29" customFormat="1" ht="30" customHeight="1" x14ac:dyDescent="0.2">
      <c r="A10" s="5"/>
      <c r="B10" s="275">
        <v>3</v>
      </c>
      <c r="C10" s="276" t="s">
        <v>346</v>
      </c>
      <c r="D10" s="78" t="s">
        <v>344</v>
      </c>
      <c r="E10" s="59">
        <v>15</v>
      </c>
      <c r="F10" s="285">
        <v>638.06640000000004</v>
      </c>
      <c r="G10" s="196">
        <f>ROUND(E10*F10,2)</f>
        <v>9571</v>
      </c>
      <c r="H10" s="217">
        <v>0</v>
      </c>
      <c r="I10" s="218">
        <f>IF(F10&lt;=248.93,0,(IFERROR(IF(ROUND((((G10/E10*30.4)-VLOOKUP((G10/E10*30.4),TARIFA,1))*VLOOKUP((G10/E10*30.4),TARIFA,3)+VLOOKUP((G10/E10*30.4),TARIFA,2)-VLOOKUP((G10/E10*30.4),SUBSIDIO,2))/30.4*E10,2)&gt;0,ROUND((((G10/E10*30.4)-VLOOKUP((G10/E10*30.4),TARIFA,1))*VLOOKUP((G10/E10*30.4),TARIFA,3)+VLOOKUP((G10/E10*30.4),TARIFA,2)-VLOOKUP((G10/E10*30.4),SUBSIDIO,2))/30.4*E10,2),0),0)))</f>
        <v>1221.3399999999999</v>
      </c>
      <c r="J10" s="197">
        <f>I10</f>
        <v>1221.3399999999999</v>
      </c>
      <c r="K10" s="197">
        <f>G10+H10-J10</f>
        <v>8349.66</v>
      </c>
      <c r="L10" s="198"/>
    </row>
    <row r="11" spans="1:12" s="29" customFormat="1" ht="30" customHeight="1" x14ac:dyDescent="0.2">
      <c r="A11" s="5" t="s">
        <v>28</v>
      </c>
      <c r="B11" s="275">
        <v>4</v>
      </c>
      <c r="C11" s="276" t="s">
        <v>346</v>
      </c>
      <c r="D11" s="78" t="s">
        <v>448</v>
      </c>
      <c r="E11" s="53">
        <v>15</v>
      </c>
      <c r="F11" s="285">
        <v>393.733</v>
      </c>
      <c r="G11" s="196">
        <f t="shared" ref="G11:G12" si="4">ROUND(E11*F11,2)</f>
        <v>5906</v>
      </c>
      <c r="H11" s="217">
        <v>0</v>
      </c>
      <c r="I11" s="217">
        <f t="shared" ref="I11:I12" si="5">IF(F11&lt;=248.93,0,(IFERROR(IF(ROUND((((G11/E11*30.4)-VLOOKUP((G11/E11*30.4),TARIFA,1))*VLOOKUP((G11/E11*30.4),TARIFA,3)+VLOOKUP((G11/E11*30.4),TARIFA,2)-VLOOKUP((G11/E11*30.4),SUBSIDIO,2))/30.4*E11,2)&gt;0,ROUND((((G11/E11*30.4)-VLOOKUP((G11/E11*30.4),TARIFA,1))*VLOOKUP((G11/E11*30.4),TARIFA,3)+VLOOKUP((G11/E11*30.4),TARIFA,2)-VLOOKUP((G11/E11*30.4),SUBSIDIO,2))/30.4*E11,2),0),0)))</f>
        <v>507.37</v>
      </c>
      <c r="J11" s="197">
        <f t="shared" ref="J11:J12" si="6">I11</f>
        <v>507.37</v>
      </c>
      <c r="K11" s="197">
        <f t="shared" ref="K11:K12" si="7">G11+H11-J11</f>
        <v>5398.63</v>
      </c>
      <c r="L11" s="198"/>
    </row>
    <row r="12" spans="1:12" s="29" customFormat="1" ht="30" customHeight="1" x14ac:dyDescent="0.2">
      <c r="A12" s="5"/>
      <c r="B12" s="275">
        <v>5</v>
      </c>
      <c r="C12" s="276" t="s">
        <v>346</v>
      </c>
      <c r="D12" s="78" t="s">
        <v>448</v>
      </c>
      <c r="E12" s="59">
        <v>15</v>
      </c>
      <c r="F12" s="285">
        <v>393.733</v>
      </c>
      <c r="G12" s="196">
        <f t="shared" si="4"/>
        <v>5906</v>
      </c>
      <c r="H12" s="217">
        <v>0</v>
      </c>
      <c r="I12" s="218">
        <f t="shared" si="5"/>
        <v>507.37</v>
      </c>
      <c r="J12" s="197">
        <f t="shared" si="6"/>
        <v>507.37</v>
      </c>
      <c r="K12" s="197">
        <f t="shared" si="7"/>
        <v>5398.63</v>
      </c>
      <c r="L12" s="198"/>
    </row>
    <row r="13" spans="1:12" s="29" customFormat="1" ht="30" customHeight="1" x14ac:dyDescent="0.2">
      <c r="A13" s="5"/>
      <c r="B13" s="275">
        <v>6</v>
      </c>
      <c r="C13" s="276" t="s">
        <v>346</v>
      </c>
      <c r="D13" s="78" t="s">
        <v>439</v>
      </c>
      <c r="E13" s="59">
        <v>15</v>
      </c>
      <c r="F13" s="285">
        <v>340</v>
      </c>
      <c r="G13" s="196">
        <f>ROUND(E13*F13,2)</f>
        <v>5100</v>
      </c>
      <c r="H13" s="217">
        <v>0</v>
      </c>
      <c r="I13" s="218">
        <f>IF(F13&lt;=248.93,0,(IFERROR(IF(ROUND((((G13/E13*30.4)-VLOOKUP((G13/E13*30.4),TARIFA,1))*VLOOKUP((G13/E13*30.4),TARIFA,3)+VLOOKUP((G13/E13*30.4),TARIFA,2)-VLOOKUP((G13/E13*30.4),SUBSIDIO,2))/30.4*E13,2)&gt;0,ROUND((((G13/E13*30.4)-VLOOKUP((G13/E13*30.4),TARIFA,1))*VLOOKUP((G13/E13*30.4),TARIFA,3)+VLOOKUP((G13/E13*30.4),TARIFA,2)-VLOOKUP((G13/E13*30.4),SUBSIDIO,2))/30.4*E13,2),0),0)))</f>
        <v>398.42</v>
      </c>
      <c r="J13" s="197">
        <f>I13</f>
        <v>398.42</v>
      </c>
      <c r="K13" s="197">
        <f>G13+H13-J13</f>
        <v>4701.58</v>
      </c>
      <c r="L13" s="198"/>
    </row>
    <row r="14" spans="1:12" s="29" customFormat="1" ht="30" customHeight="1" x14ac:dyDescent="0.2">
      <c r="A14" s="5"/>
      <c r="B14" s="275">
        <v>7</v>
      </c>
      <c r="C14" s="276" t="s">
        <v>346</v>
      </c>
      <c r="D14" s="78" t="s">
        <v>252</v>
      </c>
      <c r="E14" s="59">
        <v>15</v>
      </c>
      <c r="F14" s="285">
        <v>340</v>
      </c>
      <c r="G14" s="196">
        <f t="shared" si="1"/>
        <v>5100</v>
      </c>
      <c r="H14" s="217">
        <v>0</v>
      </c>
      <c r="I14" s="218">
        <f t="shared" si="0"/>
        <v>398.42</v>
      </c>
      <c r="J14" s="197">
        <f t="shared" si="2"/>
        <v>398.42</v>
      </c>
      <c r="K14" s="197">
        <f t="shared" si="3"/>
        <v>4701.58</v>
      </c>
      <c r="L14" s="198"/>
    </row>
    <row r="15" spans="1:12" s="67" customFormat="1" ht="30" customHeight="1" x14ac:dyDescent="0.2">
      <c r="A15" s="5"/>
      <c r="B15" s="275">
        <v>8</v>
      </c>
      <c r="C15" s="276" t="s">
        <v>346</v>
      </c>
      <c r="D15" s="78" t="s">
        <v>252</v>
      </c>
      <c r="E15" s="59">
        <v>15</v>
      </c>
      <c r="F15" s="285">
        <v>340</v>
      </c>
      <c r="G15" s="196">
        <f t="shared" si="1"/>
        <v>5100</v>
      </c>
      <c r="H15" s="217">
        <v>0</v>
      </c>
      <c r="I15" s="218">
        <f t="shared" si="0"/>
        <v>398.42</v>
      </c>
      <c r="J15" s="197">
        <f t="shared" si="2"/>
        <v>398.42</v>
      </c>
      <c r="K15" s="197">
        <f t="shared" si="3"/>
        <v>4701.58</v>
      </c>
      <c r="L15" s="198"/>
    </row>
    <row r="16" spans="1:12" ht="30" customHeight="1" x14ac:dyDescent="0.2">
      <c r="B16" s="275">
        <v>9</v>
      </c>
      <c r="C16" s="276" t="s">
        <v>346</v>
      </c>
      <c r="D16" s="78" t="s">
        <v>252</v>
      </c>
      <c r="E16" s="59">
        <v>15</v>
      </c>
      <c r="F16" s="285">
        <v>340</v>
      </c>
      <c r="G16" s="196">
        <f t="shared" si="1"/>
        <v>5100</v>
      </c>
      <c r="H16" s="217">
        <v>0</v>
      </c>
      <c r="I16" s="218">
        <f t="shared" si="0"/>
        <v>398.42</v>
      </c>
      <c r="J16" s="197">
        <f t="shared" si="2"/>
        <v>398.42</v>
      </c>
      <c r="K16" s="197">
        <f t="shared" si="3"/>
        <v>4701.58</v>
      </c>
      <c r="L16" s="198"/>
    </row>
    <row r="17" spans="1:12" s="29" customFormat="1" ht="30" customHeight="1" x14ac:dyDescent="0.2">
      <c r="A17" s="5"/>
      <c r="B17" s="275">
        <v>10</v>
      </c>
      <c r="C17" s="276" t="s">
        <v>346</v>
      </c>
      <c r="D17" s="78" t="s">
        <v>253</v>
      </c>
      <c r="E17" s="53">
        <v>15</v>
      </c>
      <c r="F17" s="286">
        <v>220.8664</v>
      </c>
      <c r="G17" s="196">
        <f t="shared" si="1"/>
        <v>3313</v>
      </c>
      <c r="H17" s="217">
        <v>0</v>
      </c>
      <c r="I17" s="217">
        <f t="shared" si="0"/>
        <v>0</v>
      </c>
      <c r="J17" s="197">
        <f t="shared" si="2"/>
        <v>0</v>
      </c>
      <c r="K17" s="197">
        <f t="shared" si="3"/>
        <v>3313</v>
      </c>
      <c r="L17" s="198"/>
    </row>
    <row r="18" spans="1:12" ht="30" customHeight="1" x14ac:dyDescent="0.2">
      <c r="B18" s="275">
        <v>11</v>
      </c>
      <c r="C18" s="276" t="s">
        <v>346</v>
      </c>
      <c r="D18" s="78" t="s">
        <v>252</v>
      </c>
      <c r="E18" s="59">
        <v>15</v>
      </c>
      <c r="F18" s="285">
        <v>340</v>
      </c>
      <c r="G18" s="196">
        <f t="shared" si="1"/>
        <v>5100</v>
      </c>
      <c r="H18" s="217">
        <v>0</v>
      </c>
      <c r="I18" s="218">
        <f t="shared" si="0"/>
        <v>398.42</v>
      </c>
      <c r="J18" s="197">
        <f t="shared" si="2"/>
        <v>398.42</v>
      </c>
      <c r="K18" s="197">
        <f t="shared" si="3"/>
        <v>4701.58</v>
      </c>
      <c r="L18" s="198"/>
    </row>
    <row r="19" spans="1:12" ht="30" customHeight="1" x14ac:dyDescent="0.2">
      <c r="B19" s="275">
        <v>12</v>
      </c>
      <c r="C19" s="276" t="s">
        <v>346</v>
      </c>
      <c r="D19" s="78" t="s">
        <v>252</v>
      </c>
      <c r="E19" s="59">
        <v>15</v>
      </c>
      <c r="F19" s="285">
        <v>340</v>
      </c>
      <c r="G19" s="196">
        <f t="shared" si="1"/>
        <v>5100</v>
      </c>
      <c r="H19" s="217">
        <v>0</v>
      </c>
      <c r="I19" s="218">
        <f t="shared" si="0"/>
        <v>398.42</v>
      </c>
      <c r="J19" s="197">
        <f t="shared" si="2"/>
        <v>398.42</v>
      </c>
      <c r="K19" s="197">
        <f t="shared" si="3"/>
        <v>4701.58</v>
      </c>
      <c r="L19" s="198"/>
    </row>
    <row r="20" spans="1:12" ht="30" customHeight="1" x14ac:dyDescent="0.2">
      <c r="B20" s="275">
        <v>13</v>
      </c>
      <c r="C20" s="276" t="s">
        <v>346</v>
      </c>
      <c r="D20" s="78" t="s">
        <v>252</v>
      </c>
      <c r="E20" s="59">
        <v>15</v>
      </c>
      <c r="F20" s="285">
        <v>340</v>
      </c>
      <c r="G20" s="196">
        <f t="shared" si="1"/>
        <v>5100</v>
      </c>
      <c r="H20" s="217">
        <v>0</v>
      </c>
      <c r="I20" s="218">
        <f t="shared" si="0"/>
        <v>398.42</v>
      </c>
      <c r="J20" s="197">
        <f t="shared" si="2"/>
        <v>398.42</v>
      </c>
      <c r="K20" s="197">
        <f t="shared" si="3"/>
        <v>4701.58</v>
      </c>
      <c r="L20" s="198"/>
    </row>
    <row r="21" spans="1:12" ht="30" customHeight="1" x14ac:dyDescent="0.2">
      <c r="B21" s="275">
        <v>14</v>
      </c>
      <c r="C21" s="276" t="s">
        <v>229</v>
      </c>
      <c r="D21" s="78" t="s">
        <v>252</v>
      </c>
      <c r="E21" s="59">
        <v>15</v>
      </c>
      <c r="F21" s="285">
        <v>340</v>
      </c>
      <c r="G21" s="196">
        <f t="shared" si="1"/>
        <v>5100</v>
      </c>
      <c r="H21" s="217">
        <v>0</v>
      </c>
      <c r="I21" s="218">
        <f t="shared" si="0"/>
        <v>398.42</v>
      </c>
      <c r="J21" s="197">
        <f t="shared" si="2"/>
        <v>398.42</v>
      </c>
      <c r="K21" s="197">
        <f t="shared" si="3"/>
        <v>4701.58</v>
      </c>
      <c r="L21" s="198"/>
    </row>
    <row r="22" spans="1:12" s="29" customFormat="1" ht="30" customHeight="1" x14ac:dyDescent="0.2">
      <c r="A22" s="5"/>
      <c r="B22" s="275">
        <v>15</v>
      </c>
      <c r="C22" s="276" t="s">
        <v>346</v>
      </c>
      <c r="D22" s="78" t="s">
        <v>252</v>
      </c>
      <c r="E22" s="59">
        <v>15</v>
      </c>
      <c r="F22" s="285">
        <v>340</v>
      </c>
      <c r="G22" s="196">
        <f t="shared" si="1"/>
        <v>5100</v>
      </c>
      <c r="H22" s="217">
        <v>0</v>
      </c>
      <c r="I22" s="218">
        <f t="shared" si="0"/>
        <v>398.42</v>
      </c>
      <c r="J22" s="197">
        <f t="shared" si="2"/>
        <v>398.42</v>
      </c>
      <c r="K22" s="197">
        <f t="shared" si="3"/>
        <v>4701.58</v>
      </c>
      <c r="L22" s="198"/>
    </row>
    <row r="23" spans="1:12" s="29" customFormat="1" ht="30" customHeight="1" x14ac:dyDescent="0.2">
      <c r="A23" s="5"/>
      <c r="B23" s="275">
        <v>16</v>
      </c>
      <c r="C23" s="276" t="s">
        <v>346</v>
      </c>
      <c r="D23" s="78" t="s">
        <v>252</v>
      </c>
      <c r="E23" s="59">
        <v>15</v>
      </c>
      <c r="F23" s="285">
        <v>340</v>
      </c>
      <c r="G23" s="196">
        <f t="shared" ref="G23:G26" si="8">ROUND(E23*F23,2)</f>
        <v>5100</v>
      </c>
      <c r="H23" s="217">
        <v>0</v>
      </c>
      <c r="I23" s="218">
        <f t="shared" ref="I23:I26" si="9">IF(F23&lt;=248.93,0,(IFERROR(IF(ROUND((((G23/E23*30.4)-VLOOKUP((G23/E23*30.4),TARIFA,1))*VLOOKUP((G23/E23*30.4),TARIFA,3)+VLOOKUP((G23/E23*30.4),TARIFA,2)-VLOOKUP((G23/E23*30.4),SUBSIDIO,2))/30.4*E23,2)&gt;0,ROUND((((G23/E23*30.4)-VLOOKUP((G23/E23*30.4),TARIFA,1))*VLOOKUP((G23/E23*30.4),TARIFA,3)+VLOOKUP((G23/E23*30.4),TARIFA,2)-VLOOKUP((G23/E23*30.4),SUBSIDIO,2))/30.4*E23,2),0),0)))</f>
        <v>398.42</v>
      </c>
      <c r="J23" s="197">
        <f t="shared" ref="J23:J26" si="10">I23</f>
        <v>398.42</v>
      </c>
      <c r="K23" s="197">
        <f t="shared" ref="K23:K26" si="11">G23+H23-J23</f>
        <v>4701.58</v>
      </c>
      <c r="L23" s="198"/>
    </row>
    <row r="24" spans="1:12" s="29" customFormat="1" ht="30" customHeight="1" x14ac:dyDescent="0.2">
      <c r="A24" s="5"/>
      <c r="B24" s="275">
        <v>18</v>
      </c>
      <c r="C24" s="276" t="s">
        <v>346</v>
      </c>
      <c r="D24" s="78" t="s">
        <v>252</v>
      </c>
      <c r="E24" s="59">
        <v>15</v>
      </c>
      <c r="F24" s="285">
        <v>340</v>
      </c>
      <c r="G24" s="196">
        <f t="shared" si="8"/>
        <v>5100</v>
      </c>
      <c r="H24" s="217">
        <v>0</v>
      </c>
      <c r="I24" s="218">
        <f t="shared" si="9"/>
        <v>398.42</v>
      </c>
      <c r="J24" s="197">
        <f t="shared" si="10"/>
        <v>398.42</v>
      </c>
      <c r="K24" s="197">
        <f t="shared" si="11"/>
        <v>4701.58</v>
      </c>
      <c r="L24" s="198"/>
    </row>
    <row r="25" spans="1:12" s="29" customFormat="1" ht="30" customHeight="1" x14ac:dyDescent="0.2">
      <c r="A25" s="5"/>
      <c r="B25" s="275">
        <v>19</v>
      </c>
      <c r="C25" s="276" t="s">
        <v>346</v>
      </c>
      <c r="D25" s="78" t="s">
        <v>252</v>
      </c>
      <c r="E25" s="59">
        <v>15</v>
      </c>
      <c r="F25" s="285">
        <v>340</v>
      </c>
      <c r="G25" s="196">
        <f t="shared" si="8"/>
        <v>5100</v>
      </c>
      <c r="H25" s="217">
        <v>0</v>
      </c>
      <c r="I25" s="218">
        <f t="shared" si="9"/>
        <v>398.42</v>
      </c>
      <c r="J25" s="197">
        <f t="shared" si="10"/>
        <v>398.42</v>
      </c>
      <c r="K25" s="197">
        <f t="shared" si="11"/>
        <v>4701.58</v>
      </c>
      <c r="L25" s="198"/>
    </row>
    <row r="26" spans="1:12" s="29" customFormat="1" ht="30" customHeight="1" x14ac:dyDescent="0.2">
      <c r="A26" s="5"/>
      <c r="B26" s="275">
        <v>20</v>
      </c>
      <c r="C26" s="276" t="s">
        <v>346</v>
      </c>
      <c r="D26" s="78" t="s">
        <v>252</v>
      </c>
      <c r="E26" s="59">
        <v>15</v>
      </c>
      <c r="F26" s="285">
        <v>340</v>
      </c>
      <c r="G26" s="196">
        <f t="shared" si="8"/>
        <v>5100</v>
      </c>
      <c r="H26" s="217">
        <v>0</v>
      </c>
      <c r="I26" s="218">
        <f t="shared" si="9"/>
        <v>398.42</v>
      </c>
      <c r="J26" s="197">
        <f t="shared" si="10"/>
        <v>398.42</v>
      </c>
      <c r="K26" s="197">
        <f t="shared" si="11"/>
        <v>4701.58</v>
      </c>
      <c r="L26" s="198"/>
    </row>
    <row r="27" spans="1:12" s="29" customFormat="1" ht="30" customHeight="1" x14ac:dyDescent="0.2">
      <c r="A27" s="5" t="s">
        <v>28</v>
      </c>
      <c r="B27" s="275">
        <v>21</v>
      </c>
      <c r="C27" s="276" t="s">
        <v>346</v>
      </c>
      <c r="D27" s="78" t="s">
        <v>252</v>
      </c>
      <c r="E27" s="53">
        <v>15</v>
      </c>
      <c r="F27" s="286">
        <v>340</v>
      </c>
      <c r="G27" s="196">
        <f t="shared" si="1"/>
        <v>5100</v>
      </c>
      <c r="H27" s="217">
        <v>0</v>
      </c>
      <c r="I27" s="217">
        <f t="shared" si="0"/>
        <v>398.42</v>
      </c>
      <c r="J27" s="197">
        <f t="shared" si="2"/>
        <v>398.42</v>
      </c>
      <c r="K27" s="197">
        <f t="shared" si="3"/>
        <v>4701.58</v>
      </c>
      <c r="L27" s="198"/>
    </row>
    <row r="28" spans="1:12" s="29" customFormat="1" ht="30" customHeight="1" x14ac:dyDescent="0.2">
      <c r="A28" s="5" t="s">
        <v>28</v>
      </c>
      <c r="B28" s="275">
        <v>22</v>
      </c>
      <c r="C28" s="276" t="s">
        <v>229</v>
      </c>
      <c r="D28" s="78" t="s">
        <v>252</v>
      </c>
      <c r="E28" s="53">
        <v>15</v>
      </c>
      <c r="F28" s="286">
        <v>340</v>
      </c>
      <c r="G28" s="196">
        <f t="shared" ref="G28:G38" si="12">ROUND(E28*F28,2)</f>
        <v>5100</v>
      </c>
      <c r="H28" s="217">
        <v>0</v>
      </c>
      <c r="I28" s="217">
        <f t="shared" ref="I28:I38" si="13">IF(F28&lt;=248.93,0,(IFERROR(IF(ROUND((((G28/E28*30.4)-VLOOKUP((G28/E28*30.4),TARIFA,1))*VLOOKUP((G28/E28*30.4),TARIFA,3)+VLOOKUP((G28/E28*30.4),TARIFA,2)-VLOOKUP((G28/E28*30.4),SUBSIDIO,2))/30.4*E28,2)&gt;0,ROUND((((G28/E28*30.4)-VLOOKUP((G28/E28*30.4),TARIFA,1))*VLOOKUP((G28/E28*30.4),TARIFA,3)+VLOOKUP((G28/E28*30.4),TARIFA,2)-VLOOKUP((G28/E28*30.4),SUBSIDIO,2))/30.4*E28,2),0),0)))</f>
        <v>398.42</v>
      </c>
      <c r="J28" s="197">
        <f t="shared" ref="J28:J38" si="14">I28</f>
        <v>398.42</v>
      </c>
      <c r="K28" s="197">
        <f t="shared" ref="K28:K38" si="15">G28+H28-J28</f>
        <v>4701.58</v>
      </c>
      <c r="L28" s="198"/>
    </row>
    <row r="29" spans="1:12" s="29" customFormat="1" ht="30" customHeight="1" x14ac:dyDescent="0.2">
      <c r="A29" s="5" t="s">
        <v>28</v>
      </c>
      <c r="B29" s="275">
        <v>23</v>
      </c>
      <c r="C29" s="276" t="s">
        <v>346</v>
      </c>
      <c r="D29" s="78" t="s">
        <v>252</v>
      </c>
      <c r="E29" s="53">
        <v>15</v>
      </c>
      <c r="F29" s="286">
        <v>340</v>
      </c>
      <c r="G29" s="196">
        <f t="shared" si="12"/>
        <v>5100</v>
      </c>
      <c r="H29" s="217">
        <v>0</v>
      </c>
      <c r="I29" s="217">
        <f t="shared" si="13"/>
        <v>398.42</v>
      </c>
      <c r="J29" s="197">
        <f t="shared" si="14"/>
        <v>398.42</v>
      </c>
      <c r="K29" s="197">
        <f t="shared" si="15"/>
        <v>4701.58</v>
      </c>
      <c r="L29" s="198"/>
    </row>
    <row r="30" spans="1:12" s="29" customFormat="1" ht="30" customHeight="1" x14ac:dyDescent="0.2">
      <c r="A30" s="5" t="s">
        <v>28</v>
      </c>
      <c r="B30" s="275">
        <v>24</v>
      </c>
      <c r="C30" s="276" t="s">
        <v>346</v>
      </c>
      <c r="D30" s="78" t="s">
        <v>252</v>
      </c>
      <c r="E30" s="53">
        <v>15</v>
      </c>
      <c r="F30" s="286">
        <v>340</v>
      </c>
      <c r="G30" s="196">
        <f t="shared" si="12"/>
        <v>5100</v>
      </c>
      <c r="H30" s="217">
        <v>0</v>
      </c>
      <c r="I30" s="217">
        <f t="shared" si="13"/>
        <v>398.42</v>
      </c>
      <c r="J30" s="197">
        <f t="shared" si="14"/>
        <v>398.42</v>
      </c>
      <c r="K30" s="197">
        <f t="shared" si="15"/>
        <v>4701.58</v>
      </c>
      <c r="L30" s="198"/>
    </row>
    <row r="31" spans="1:12" s="29" customFormat="1" ht="30" customHeight="1" x14ac:dyDescent="0.2">
      <c r="A31" s="5" t="s">
        <v>28</v>
      </c>
      <c r="B31" s="275">
        <v>25</v>
      </c>
      <c r="C31" s="276" t="s">
        <v>229</v>
      </c>
      <c r="D31" s="78" t="s">
        <v>252</v>
      </c>
      <c r="E31" s="53">
        <v>15</v>
      </c>
      <c r="F31" s="286">
        <v>340</v>
      </c>
      <c r="G31" s="196">
        <f t="shared" si="12"/>
        <v>5100</v>
      </c>
      <c r="H31" s="217">
        <v>0</v>
      </c>
      <c r="I31" s="217">
        <f t="shared" si="13"/>
        <v>398.42</v>
      </c>
      <c r="J31" s="197">
        <f t="shared" si="14"/>
        <v>398.42</v>
      </c>
      <c r="K31" s="197">
        <f t="shared" si="15"/>
        <v>4701.58</v>
      </c>
      <c r="L31" s="198"/>
    </row>
    <row r="32" spans="1:12" s="29" customFormat="1" ht="30" customHeight="1" x14ac:dyDescent="0.2">
      <c r="A32" s="5" t="s">
        <v>28</v>
      </c>
      <c r="B32" s="275">
        <v>26</v>
      </c>
      <c r="C32" s="276" t="s">
        <v>229</v>
      </c>
      <c r="D32" s="78" t="s">
        <v>252</v>
      </c>
      <c r="E32" s="53">
        <v>15</v>
      </c>
      <c r="F32" s="286">
        <v>340</v>
      </c>
      <c r="G32" s="196">
        <f t="shared" si="12"/>
        <v>5100</v>
      </c>
      <c r="H32" s="217">
        <v>0</v>
      </c>
      <c r="I32" s="217">
        <f t="shared" si="13"/>
        <v>398.42</v>
      </c>
      <c r="J32" s="197">
        <f t="shared" si="14"/>
        <v>398.42</v>
      </c>
      <c r="K32" s="197">
        <f t="shared" si="15"/>
        <v>4701.58</v>
      </c>
      <c r="L32" s="198"/>
    </row>
    <row r="33" spans="1:14" s="29" customFormat="1" ht="30" customHeight="1" x14ac:dyDescent="0.2">
      <c r="A33" s="5" t="s">
        <v>28</v>
      </c>
      <c r="B33" s="275">
        <v>27</v>
      </c>
      <c r="C33" s="276" t="s">
        <v>229</v>
      </c>
      <c r="D33" s="78" t="s">
        <v>252</v>
      </c>
      <c r="E33" s="53">
        <v>15</v>
      </c>
      <c r="F33" s="286">
        <v>340</v>
      </c>
      <c r="G33" s="196">
        <f t="shared" si="12"/>
        <v>5100</v>
      </c>
      <c r="H33" s="217">
        <v>0</v>
      </c>
      <c r="I33" s="217">
        <f t="shared" si="13"/>
        <v>398.42</v>
      </c>
      <c r="J33" s="197">
        <f t="shared" si="14"/>
        <v>398.42</v>
      </c>
      <c r="K33" s="197">
        <f t="shared" si="15"/>
        <v>4701.58</v>
      </c>
      <c r="L33" s="198"/>
    </row>
    <row r="34" spans="1:14" s="29" customFormat="1" ht="30" customHeight="1" x14ac:dyDescent="0.2">
      <c r="A34" s="5" t="s">
        <v>28</v>
      </c>
      <c r="B34" s="275">
        <v>28</v>
      </c>
      <c r="C34" s="276" t="s">
        <v>229</v>
      </c>
      <c r="D34" s="78" t="s">
        <v>252</v>
      </c>
      <c r="E34" s="53">
        <v>8</v>
      </c>
      <c r="F34" s="286">
        <v>340</v>
      </c>
      <c r="G34" s="196">
        <f t="shared" ref="G34" si="16">ROUND(E34*F34,2)</f>
        <v>2720</v>
      </c>
      <c r="H34" s="217">
        <v>0</v>
      </c>
      <c r="I34" s="217">
        <f t="shared" ref="I34" si="17">IF(F34&lt;=248.93,0,(IFERROR(IF(ROUND((((G34/E34*30.4)-VLOOKUP((G34/E34*30.4),TARIFA,1))*VLOOKUP((G34/E34*30.4),TARIFA,3)+VLOOKUP((G34/E34*30.4),TARIFA,2)-VLOOKUP((G34/E34*30.4),SUBSIDIO,2))/30.4*E34,2)&gt;0,ROUND((((G34/E34*30.4)-VLOOKUP((G34/E34*30.4),TARIFA,1))*VLOOKUP((G34/E34*30.4),TARIFA,3)+VLOOKUP((G34/E34*30.4),TARIFA,2)-VLOOKUP((G34/E34*30.4),SUBSIDIO,2))/30.4*E34,2),0),0)))</f>
        <v>212.49</v>
      </c>
      <c r="J34" s="197">
        <f t="shared" ref="J34" si="18">I34</f>
        <v>212.49</v>
      </c>
      <c r="K34" s="197">
        <f t="shared" ref="K34" si="19">G34+H34-J34</f>
        <v>2507.5100000000002</v>
      </c>
      <c r="L34" s="198"/>
    </row>
    <row r="35" spans="1:14" s="29" customFormat="1" ht="29.45" customHeight="1" x14ac:dyDescent="0.2">
      <c r="A35" s="5" t="s">
        <v>28</v>
      </c>
      <c r="B35" s="275">
        <v>29</v>
      </c>
      <c r="C35" s="276" t="s">
        <v>229</v>
      </c>
      <c r="D35" s="78" t="s">
        <v>252</v>
      </c>
      <c r="E35" s="53">
        <v>11</v>
      </c>
      <c r="F35" s="286">
        <v>340</v>
      </c>
      <c r="G35" s="196">
        <f t="shared" ref="G35" si="20">ROUND(E35*F35,2)</f>
        <v>3740</v>
      </c>
      <c r="H35" s="217">
        <v>0</v>
      </c>
      <c r="I35" s="217">
        <f t="shared" ref="I35" si="21">IF(F35&lt;=248.93,0,(IFERROR(IF(ROUND((((G35/E35*30.4)-VLOOKUP((G35/E35*30.4),TARIFA,1))*VLOOKUP((G35/E35*30.4),TARIFA,3)+VLOOKUP((G35/E35*30.4),TARIFA,2)-VLOOKUP((G35/E35*30.4),SUBSIDIO,2))/30.4*E35,2)&gt;0,ROUND((((G35/E35*30.4)-VLOOKUP((G35/E35*30.4),TARIFA,1))*VLOOKUP((G35/E35*30.4),TARIFA,3)+VLOOKUP((G35/E35*30.4),TARIFA,2)-VLOOKUP((G35/E35*30.4),SUBSIDIO,2))/30.4*E35,2),0),0)))</f>
        <v>292.17</v>
      </c>
      <c r="J35" s="197">
        <f t="shared" ref="J35" si="22">I35</f>
        <v>292.17</v>
      </c>
      <c r="K35" s="197">
        <f t="shared" ref="K35" si="23">G35+H35-J35</f>
        <v>3447.83</v>
      </c>
      <c r="L35" s="198"/>
    </row>
    <row r="36" spans="1:14" s="29" customFormat="1" ht="29.45" customHeight="1" x14ac:dyDescent="0.2">
      <c r="A36" s="5" t="s">
        <v>28</v>
      </c>
      <c r="B36" s="275">
        <v>30</v>
      </c>
      <c r="C36" s="276" t="s">
        <v>229</v>
      </c>
      <c r="D36" s="78" t="s">
        <v>252</v>
      </c>
      <c r="E36" s="53">
        <v>9</v>
      </c>
      <c r="F36" s="286">
        <v>340</v>
      </c>
      <c r="G36" s="196">
        <f t="shared" ref="G36" si="24">ROUND(E36*F36,2)</f>
        <v>3060</v>
      </c>
      <c r="H36" s="217">
        <v>0</v>
      </c>
      <c r="I36" s="217">
        <f t="shared" ref="I36" si="25">IF(F36&lt;=248.93,0,(IFERROR(IF(ROUND((((G36/E36*30.4)-VLOOKUP((G36/E36*30.4),TARIFA,1))*VLOOKUP((G36/E36*30.4),TARIFA,3)+VLOOKUP((G36/E36*30.4),TARIFA,2)-VLOOKUP((G36/E36*30.4),SUBSIDIO,2))/30.4*E36,2)&gt;0,ROUND((((G36/E36*30.4)-VLOOKUP((G36/E36*30.4),TARIFA,1))*VLOOKUP((G36/E36*30.4),TARIFA,3)+VLOOKUP((G36/E36*30.4),TARIFA,2)-VLOOKUP((G36/E36*30.4),SUBSIDIO,2))/30.4*E36,2),0),0)))</f>
        <v>239.05</v>
      </c>
      <c r="J36" s="197">
        <f t="shared" ref="J36" si="26">I36</f>
        <v>239.05</v>
      </c>
      <c r="K36" s="197">
        <f t="shared" ref="K36" si="27">G36+H36-J36</f>
        <v>2820.95</v>
      </c>
      <c r="L36" s="198"/>
    </row>
    <row r="37" spans="1:14" s="29" customFormat="1" ht="29.45" customHeight="1" x14ac:dyDescent="0.2">
      <c r="A37" s="5" t="s">
        <v>28</v>
      </c>
      <c r="B37" s="275">
        <v>31</v>
      </c>
      <c r="C37" s="276" t="s">
        <v>229</v>
      </c>
      <c r="D37" s="78" t="s">
        <v>252</v>
      </c>
      <c r="E37" s="53">
        <v>5</v>
      </c>
      <c r="F37" s="286">
        <v>340</v>
      </c>
      <c r="G37" s="196">
        <f t="shared" ref="G37" si="28">ROUND(E37*F37,2)</f>
        <v>1700</v>
      </c>
      <c r="H37" s="217">
        <v>0</v>
      </c>
      <c r="I37" s="217">
        <f t="shared" ref="I37" si="29">IF(F37&lt;=248.93,0,(IFERROR(IF(ROUND((((G37/E37*30.4)-VLOOKUP((G37/E37*30.4),TARIFA,1))*VLOOKUP((G37/E37*30.4),TARIFA,3)+VLOOKUP((G37/E37*30.4),TARIFA,2)-VLOOKUP((G37/E37*30.4),SUBSIDIO,2))/30.4*E37,2)&gt;0,ROUND((((G37/E37*30.4)-VLOOKUP((G37/E37*30.4),TARIFA,1))*VLOOKUP((G37/E37*30.4),TARIFA,3)+VLOOKUP((G37/E37*30.4),TARIFA,2)-VLOOKUP((G37/E37*30.4),SUBSIDIO,2))/30.4*E37,2),0),0)))</f>
        <v>132.81</v>
      </c>
      <c r="J37" s="197">
        <f t="shared" ref="J37" si="30">I37</f>
        <v>132.81</v>
      </c>
      <c r="K37" s="197">
        <f t="shared" ref="K37" si="31">G37+H37-J37</f>
        <v>1567.19</v>
      </c>
      <c r="L37" s="198"/>
    </row>
    <row r="38" spans="1:14" s="29" customFormat="1" ht="30" customHeight="1" x14ac:dyDescent="0.2">
      <c r="A38" s="5" t="s">
        <v>28</v>
      </c>
      <c r="B38" s="275">
        <v>31</v>
      </c>
      <c r="C38" s="276" t="s">
        <v>346</v>
      </c>
      <c r="D38" s="78" t="s">
        <v>49</v>
      </c>
      <c r="E38" s="53">
        <v>15</v>
      </c>
      <c r="F38" s="286">
        <v>112.505</v>
      </c>
      <c r="G38" s="196">
        <f t="shared" si="12"/>
        <v>1687.58</v>
      </c>
      <c r="H38" s="217">
        <v>0</v>
      </c>
      <c r="I38" s="217">
        <f t="shared" si="13"/>
        <v>0</v>
      </c>
      <c r="J38" s="197">
        <f t="shared" si="14"/>
        <v>0</v>
      </c>
      <c r="K38" s="197">
        <f t="shared" si="15"/>
        <v>1687.58</v>
      </c>
      <c r="L38" s="198"/>
    </row>
    <row r="39" spans="1:14" ht="24" customHeight="1" x14ac:dyDescent="0.2">
      <c r="B39" s="106"/>
      <c r="C39" s="38"/>
      <c r="D39" s="105"/>
      <c r="E39" s="199"/>
      <c r="F39" s="199"/>
      <c r="G39" s="200"/>
      <c r="H39" s="201"/>
      <c r="I39" s="200"/>
      <c r="J39" s="200"/>
      <c r="K39" s="200"/>
      <c r="L39" s="202"/>
    </row>
    <row r="40" spans="1:14" ht="24" customHeight="1" thickBot="1" x14ac:dyDescent="0.25">
      <c r="B40" s="421" t="s">
        <v>17</v>
      </c>
      <c r="C40" s="398"/>
      <c r="D40" s="398"/>
      <c r="E40" s="398"/>
      <c r="F40" s="399"/>
      <c r="G40" s="203">
        <f>SUM(G8:G39)</f>
        <v>156246.57999999999</v>
      </c>
      <c r="H40" s="203">
        <f>SUM(H8:H39)</f>
        <v>0</v>
      </c>
      <c r="I40" s="203">
        <f>SUM(I8:I39)</f>
        <v>13009.5</v>
      </c>
      <c r="J40" s="203">
        <f>SUM(J8:J39)</f>
        <v>13009.5</v>
      </c>
      <c r="K40" s="203">
        <f>SUM(K8:K39)</f>
        <v>143237.08000000002</v>
      </c>
      <c r="L40" s="204"/>
    </row>
    <row r="41" spans="1:14" ht="24" customHeight="1" thickTop="1" x14ac:dyDescent="0.2">
      <c r="B41" s="106"/>
      <c r="C41" s="38"/>
      <c r="D41" s="105"/>
      <c r="E41" s="199"/>
      <c r="F41" s="199"/>
      <c r="G41" s="199"/>
      <c r="H41" s="205"/>
      <c r="I41" s="199"/>
      <c r="J41" s="206"/>
      <c r="K41" s="199"/>
      <c r="L41" s="207"/>
    </row>
    <row r="42" spans="1:14" x14ac:dyDescent="0.2">
      <c r="B42" s="74"/>
      <c r="K42" s="208"/>
      <c r="L42" s="95"/>
    </row>
    <row r="43" spans="1:14" x14ac:dyDescent="0.2">
      <c r="B43" s="74"/>
      <c r="L43" s="95"/>
    </row>
    <row r="44" spans="1:14" x14ac:dyDescent="0.2">
      <c r="B44" s="74"/>
      <c r="L44" s="95"/>
    </row>
    <row r="45" spans="1:14" ht="18.75" customHeight="1" x14ac:dyDescent="0.2">
      <c r="B45" s="74"/>
      <c r="C45" s="221" t="s">
        <v>301</v>
      </c>
      <c r="D45" s="5"/>
      <c r="E45" s="5"/>
      <c r="F45" s="5"/>
      <c r="G45" s="32"/>
      <c r="H45" s="32"/>
      <c r="I45" s="46"/>
      <c r="J45" s="360" t="s">
        <v>178</v>
      </c>
      <c r="K45" s="360"/>
      <c r="L45" s="422"/>
    </row>
    <row r="46" spans="1:14" ht="19.5" customHeight="1" thickBot="1" x14ac:dyDescent="0.25">
      <c r="B46" s="75"/>
      <c r="C46" s="76"/>
      <c r="D46" s="222"/>
      <c r="E46" s="76"/>
      <c r="F46" s="76"/>
      <c r="G46" s="77"/>
      <c r="H46" s="77"/>
      <c r="I46" s="50"/>
      <c r="J46" s="363" t="s">
        <v>179</v>
      </c>
      <c r="K46" s="363"/>
      <c r="L46" s="364"/>
    </row>
    <row r="48" spans="1:14" x14ac:dyDescent="0.2">
      <c r="N48" s="187">
        <v>233266.39000000004</v>
      </c>
    </row>
    <row r="49" spans="10:12" x14ac:dyDescent="0.2">
      <c r="J49" s="25" t="s">
        <v>73</v>
      </c>
      <c r="K49" s="208">
        <f>K21+K31+K32+K33+K34+K35+K36+K37+K28</f>
        <v>33851.380000000005</v>
      </c>
      <c r="L49" s="110">
        <f>K49+PROT.CIVIL!L43</f>
        <v>68420.73000000001</v>
      </c>
    </row>
    <row r="51" spans="10:12" x14ac:dyDescent="0.2">
      <c r="J51" s="25" t="s">
        <v>74</v>
      </c>
      <c r="K51" s="208">
        <f>K8+K9+K10+K13+K14+K15+K16+K17+K18+K19+K20+K22+K23+K24+K25+K26+K27+K29+K30+K38+K11+K12</f>
        <v>109385.70000000003</v>
      </c>
      <c r="L51" s="110">
        <f>K51+PROT.CIVIL!L45</f>
        <v>194396.74</v>
      </c>
    </row>
    <row r="52" spans="10:12" x14ac:dyDescent="0.2">
      <c r="K52" s="208">
        <f>K51+K49</f>
        <v>143237.08000000002</v>
      </c>
    </row>
    <row r="54" spans="10:12" x14ac:dyDescent="0.2">
      <c r="J54" s="25" t="s">
        <v>186</v>
      </c>
      <c r="K54" s="208">
        <f>K52-K40</f>
        <v>0</v>
      </c>
    </row>
  </sheetData>
  <mergeCells count="7">
    <mergeCell ref="J46:L46"/>
    <mergeCell ref="D2:I2"/>
    <mergeCell ref="D5:I5"/>
    <mergeCell ref="J5:L5"/>
    <mergeCell ref="D6:I6"/>
    <mergeCell ref="B40:F40"/>
    <mergeCell ref="J45:L45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8"/>
  <sheetViews>
    <sheetView showGridLines="0" topLeftCell="A20" zoomScale="87" zoomScaleNormal="87" workbookViewId="0">
      <selection activeCell="F44" sqref="F44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211" customWidth="1"/>
    <col min="5" max="5" width="12.85546875" style="215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11" customWidth="1"/>
    <col min="10" max="10" width="10.5703125" style="25" bestFit="1" customWidth="1"/>
    <col min="11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153"/>
      <c r="C1" s="190"/>
      <c r="D1" s="98"/>
      <c r="E1" s="99"/>
      <c r="F1" s="100"/>
      <c r="G1" s="100"/>
      <c r="H1" s="100"/>
      <c r="I1" s="191"/>
      <c r="J1" s="100"/>
      <c r="K1" s="100"/>
      <c r="L1" s="100"/>
      <c r="M1" s="101"/>
    </row>
    <row r="2" spans="1:13" ht="30" customHeight="1" x14ac:dyDescent="0.2">
      <c r="B2" s="192"/>
      <c r="C2" s="193"/>
      <c r="D2" s="61"/>
      <c r="E2" s="371" t="s">
        <v>183</v>
      </c>
      <c r="F2" s="371"/>
      <c r="G2" s="371"/>
      <c r="H2" s="371"/>
      <c r="I2" s="371"/>
      <c r="J2" s="371"/>
      <c r="K2" s="103"/>
      <c r="L2" s="103"/>
      <c r="M2" s="104"/>
    </row>
    <row r="3" spans="1:13" ht="30" customHeight="1" x14ac:dyDescent="0.2">
      <c r="B3" s="192"/>
      <c r="C3" s="193"/>
      <c r="D3" s="61"/>
      <c r="E3" s="105"/>
      <c r="F3" s="103"/>
      <c r="G3" s="103"/>
      <c r="H3" s="103"/>
      <c r="I3" s="194"/>
      <c r="J3" s="103"/>
      <c r="K3" s="103"/>
      <c r="L3" s="103"/>
      <c r="M3" s="104"/>
    </row>
    <row r="4" spans="1:13" ht="30" customHeight="1" x14ac:dyDescent="0.2">
      <c r="B4" s="192"/>
      <c r="C4" s="193"/>
      <c r="D4" s="61"/>
      <c r="E4" s="371" t="s">
        <v>254</v>
      </c>
      <c r="F4" s="371"/>
      <c r="G4" s="371"/>
      <c r="H4" s="371"/>
      <c r="I4" s="371"/>
      <c r="J4" s="371"/>
      <c r="K4" s="103"/>
      <c r="L4" s="103"/>
      <c r="M4" s="104"/>
    </row>
    <row r="5" spans="1:13" ht="31.5" customHeight="1" x14ac:dyDescent="0.2">
      <c r="B5" s="106"/>
      <c r="C5" s="38"/>
      <c r="D5" s="61"/>
      <c r="E5" s="223" t="s">
        <v>444</v>
      </c>
      <c r="F5" s="224"/>
      <c r="G5" s="224"/>
      <c r="H5" s="224"/>
      <c r="I5" s="224"/>
      <c r="J5" s="224"/>
      <c r="K5" s="373"/>
      <c r="L5" s="373"/>
      <c r="M5" s="374"/>
    </row>
    <row r="6" spans="1:13" ht="30" customHeight="1" thickBot="1" x14ac:dyDescent="0.25">
      <c r="B6" s="107"/>
      <c r="C6" s="45"/>
      <c r="D6" s="425" t="s">
        <v>255</v>
      </c>
      <c r="E6" s="425"/>
      <c r="F6" s="425"/>
      <c r="G6" s="425"/>
      <c r="H6" s="425"/>
      <c r="I6" s="425"/>
      <c r="J6" s="108"/>
      <c r="K6" s="108"/>
      <c r="L6" s="108"/>
      <c r="M6" s="109"/>
    </row>
    <row r="7" spans="1:13" ht="41.25" customHeight="1" x14ac:dyDescent="0.2">
      <c r="B7" s="80" t="s">
        <v>176</v>
      </c>
      <c r="C7" s="140" t="s">
        <v>229</v>
      </c>
      <c r="D7" s="81" t="s">
        <v>14</v>
      </c>
      <c r="E7" s="81" t="s">
        <v>171</v>
      </c>
      <c r="F7" s="81" t="s">
        <v>174</v>
      </c>
      <c r="G7" s="81" t="s">
        <v>175</v>
      </c>
      <c r="H7" s="82" t="s">
        <v>172</v>
      </c>
      <c r="I7" s="195" t="s">
        <v>187</v>
      </c>
      <c r="J7" s="81" t="s">
        <v>188</v>
      </c>
      <c r="K7" s="83" t="s">
        <v>173</v>
      </c>
      <c r="L7" s="83" t="s">
        <v>182</v>
      </c>
      <c r="M7" s="91" t="s">
        <v>181</v>
      </c>
    </row>
    <row r="8" spans="1:13" s="29" customFormat="1" ht="30" customHeight="1" x14ac:dyDescent="0.2">
      <c r="A8" s="5"/>
      <c r="B8" s="275">
        <v>1</v>
      </c>
      <c r="C8" s="276" t="s">
        <v>346</v>
      </c>
      <c r="D8" s="149" t="s">
        <v>256</v>
      </c>
      <c r="E8" s="277" t="s">
        <v>35</v>
      </c>
      <c r="F8" s="278">
        <v>15</v>
      </c>
      <c r="G8" s="279">
        <v>550</v>
      </c>
      <c r="H8" s="280">
        <f t="shared" ref="H8:H32" si="0">ROUND(F8*G8,2)</f>
        <v>8250</v>
      </c>
      <c r="I8" s="281">
        <v>0</v>
      </c>
      <c r="J8" s="279">
        <f t="shared" ref="J8:J32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279">
        <f>J8</f>
        <v>939.18</v>
      </c>
      <c r="L8" s="279">
        <f>H8+I8-J8</f>
        <v>7310.82</v>
      </c>
      <c r="M8" s="282"/>
    </row>
    <row r="9" spans="1:13" s="29" customFormat="1" ht="30" customHeight="1" x14ac:dyDescent="0.2">
      <c r="A9" s="5"/>
      <c r="B9" s="275">
        <v>2</v>
      </c>
      <c r="C9" s="276" t="s">
        <v>346</v>
      </c>
      <c r="D9" s="149" t="s">
        <v>456</v>
      </c>
      <c r="E9" s="149" t="s">
        <v>257</v>
      </c>
      <c r="F9" s="278">
        <v>15</v>
      </c>
      <c r="G9" s="279">
        <v>381.6</v>
      </c>
      <c r="H9" s="280">
        <f t="shared" si="0"/>
        <v>5724</v>
      </c>
      <c r="I9" s="281">
        <v>0</v>
      </c>
      <c r="J9" s="279">
        <f t="shared" si="1"/>
        <v>478.25</v>
      </c>
      <c r="K9" s="279">
        <f t="shared" ref="K9:K30" si="2">J9</f>
        <v>478.25</v>
      </c>
      <c r="L9" s="279">
        <f t="shared" ref="L9:L30" si="3">H9+I9-J9</f>
        <v>5245.75</v>
      </c>
      <c r="M9" s="282"/>
    </row>
    <row r="10" spans="1:13" s="29" customFormat="1" ht="30" customHeight="1" x14ac:dyDescent="0.2">
      <c r="A10" s="5"/>
      <c r="B10" s="275">
        <v>3</v>
      </c>
      <c r="C10" s="276" t="s">
        <v>346</v>
      </c>
      <c r="D10" s="149" t="s">
        <v>258</v>
      </c>
      <c r="E10" s="149" t="s">
        <v>257</v>
      </c>
      <c r="F10" s="278">
        <v>15</v>
      </c>
      <c r="G10" s="279">
        <v>381.6</v>
      </c>
      <c r="H10" s="280">
        <f t="shared" si="0"/>
        <v>5724</v>
      </c>
      <c r="I10" s="281">
        <v>0</v>
      </c>
      <c r="J10" s="279">
        <f t="shared" si="1"/>
        <v>478.25</v>
      </c>
      <c r="K10" s="279">
        <f t="shared" si="2"/>
        <v>478.25</v>
      </c>
      <c r="L10" s="279">
        <f t="shared" si="3"/>
        <v>5245.75</v>
      </c>
      <c r="M10" s="282"/>
    </row>
    <row r="11" spans="1:13" s="29" customFormat="1" ht="30" customHeight="1" x14ac:dyDescent="0.2">
      <c r="A11" s="5"/>
      <c r="B11" s="275">
        <v>4</v>
      </c>
      <c r="C11" s="276" t="s">
        <v>346</v>
      </c>
      <c r="D11" s="149" t="s">
        <v>259</v>
      </c>
      <c r="E11" s="149" t="s">
        <v>40</v>
      </c>
      <c r="F11" s="278">
        <v>15</v>
      </c>
      <c r="G11" s="279">
        <v>360.8664</v>
      </c>
      <c r="H11" s="280">
        <f>ROUND(F11*G11,2)</f>
        <v>5413</v>
      </c>
      <c r="I11" s="281">
        <v>0</v>
      </c>
      <c r="J11" s="279">
        <f t="shared" si="1"/>
        <v>432.47</v>
      </c>
      <c r="K11" s="279">
        <f>J11</f>
        <v>432.47</v>
      </c>
      <c r="L11" s="279">
        <f>H11+I11-J11</f>
        <v>4980.53</v>
      </c>
      <c r="M11" s="282"/>
    </row>
    <row r="12" spans="1:13" s="29" customFormat="1" ht="30" customHeight="1" x14ac:dyDescent="0.2">
      <c r="A12" s="5"/>
      <c r="B12" s="275">
        <v>5</v>
      </c>
      <c r="C12" s="276" t="s">
        <v>346</v>
      </c>
      <c r="D12" s="149" t="s">
        <v>260</v>
      </c>
      <c r="E12" s="149" t="s">
        <v>261</v>
      </c>
      <c r="F12" s="278">
        <v>15</v>
      </c>
      <c r="G12" s="279">
        <v>360.8664</v>
      </c>
      <c r="H12" s="280">
        <f t="shared" si="0"/>
        <v>5413</v>
      </c>
      <c r="I12" s="281">
        <v>0</v>
      </c>
      <c r="J12" s="279">
        <f t="shared" si="1"/>
        <v>432.47</v>
      </c>
      <c r="K12" s="279">
        <f t="shared" si="2"/>
        <v>432.47</v>
      </c>
      <c r="L12" s="279">
        <f t="shared" si="3"/>
        <v>4980.53</v>
      </c>
      <c r="M12" s="282"/>
    </row>
    <row r="13" spans="1:13" ht="30" customHeight="1" x14ac:dyDescent="0.2">
      <c r="B13" s="275">
        <v>6</v>
      </c>
      <c r="C13" s="276" t="s">
        <v>346</v>
      </c>
      <c r="D13" s="149" t="s">
        <v>262</v>
      </c>
      <c r="E13" s="149" t="s">
        <v>261</v>
      </c>
      <c r="F13" s="278">
        <v>15</v>
      </c>
      <c r="G13" s="279">
        <v>360.8664</v>
      </c>
      <c r="H13" s="280">
        <f t="shared" si="0"/>
        <v>5413</v>
      </c>
      <c r="I13" s="281">
        <v>0</v>
      </c>
      <c r="J13" s="279">
        <f t="shared" si="1"/>
        <v>432.47</v>
      </c>
      <c r="K13" s="279">
        <f t="shared" si="2"/>
        <v>432.47</v>
      </c>
      <c r="L13" s="279">
        <f t="shared" si="3"/>
        <v>4980.53</v>
      </c>
      <c r="M13" s="282"/>
    </row>
    <row r="14" spans="1:13" ht="30" customHeight="1" x14ac:dyDescent="0.2">
      <c r="B14" s="275">
        <v>7</v>
      </c>
      <c r="C14" s="276" t="s">
        <v>346</v>
      </c>
      <c r="D14" s="149" t="s">
        <v>263</v>
      </c>
      <c r="E14" s="149" t="s">
        <v>261</v>
      </c>
      <c r="F14" s="278">
        <v>15</v>
      </c>
      <c r="G14" s="279">
        <v>360.8664</v>
      </c>
      <c r="H14" s="280">
        <f t="shared" si="0"/>
        <v>5413</v>
      </c>
      <c r="I14" s="281">
        <v>0</v>
      </c>
      <c r="J14" s="279">
        <f t="shared" si="1"/>
        <v>432.47</v>
      </c>
      <c r="K14" s="279">
        <f t="shared" si="2"/>
        <v>432.47</v>
      </c>
      <c r="L14" s="279">
        <f t="shared" si="3"/>
        <v>4980.53</v>
      </c>
      <c r="M14" s="282"/>
    </row>
    <row r="15" spans="1:13" ht="30" customHeight="1" x14ac:dyDescent="0.2">
      <c r="B15" s="275">
        <v>8</v>
      </c>
      <c r="C15" s="276" t="s">
        <v>346</v>
      </c>
      <c r="D15" s="149" t="s">
        <v>264</v>
      </c>
      <c r="E15" s="149" t="s">
        <v>261</v>
      </c>
      <c r="F15" s="278">
        <v>15</v>
      </c>
      <c r="G15" s="279">
        <v>360.8664</v>
      </c>
      <c r="H15" s="280">
        <f t="shared" si="0"/>
        <v>5413</v>
      </c>
      <c r="I15" s="281">
        <v>0</v>
      </c>
      <c r="J15" s="279">
        <f t="shared" si="1"/>
        <v>432.47</v>
      </c>
      <c r="K15" s="279">
        <f t="shared" si="2"/>
        <v>432.47</v>
      </c>
      <c r="L15" s="279">
        <f t="shared" si="3"/>
        <v>4980.53</v>
      </c>
      <c r="M15" s="282"/>
    </row>
    <row r="16" spans="1:13" ht="30" customHeight="1" x14ac:dyDescent="0.2">
      <c r="B16" s="275">
        <v>9</v>
      </c>
      <c r="C16" s="276" t="s">
        <v>346</v>
      </c>
      <c r="D16" s="149" t="s">
        <v>265</v>
      </c>
      <c r="E16" s="149" t="s">
        <v>261</v>
      </c>
      <c r="F16" s="278">
        <v>15</v>
      </c>
      <c r="G16" s="279">
        <v>360.8664</v>
      </c>
      <c r="H16" s="280">
        <f>ROUND(F16*G16,2)</f>
        <v>5413</v>
      </c>
      <c r="I16" s="281">
        <v>0</v>
      </c>
      <c r="J16" s="279">
        <f t="shared" si="1"/>
        <v>432.47</v>
      </c>
      <c r="K16" s="279">
        <f t="shared" si="2"/>
        <v>432.47</v>
      </c>
      <c r="L16" s="279">
        <f t="shared" si="3"/>
        <v>4980.53</v>
      </c>
      <c r="M16" s="282"/>
    </row>
    <row r="17" spans="1:13" ht="30" customHeight="1" x14ac:dyDescent="0.2">
      <c r="B17" s="275">
        <v>10</v>
      </c>
      <c r="C17" s="276" t="s">
        <v>346</v>
      </c>
      <c r="D17" s="149" t="s">
        <v>452</v>
      </c>
      <c r="E17" s="149" t="s">
        <v>261</v>
      </c>
      <c r="F17" s="278">
        <v>15</v>
      </c>
      <c r="G17" s="279">
        <v>360.8664</v>
      </c>
      <c r="H17" s="280">
        <f>ROUND(F17*G17,2)</f>
        <v>5413</v>
      </c>
      <c r="I17" s="281">
        <v>0</v>
      </c>
      <c r="J17" s="279">
        <f t="shared" ref="J17" si="4">IF(G17&lt;=248.93,0,(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))</f>
        <v>432.47</v>
      </c>
      <c r="K17" s="279">
        <f t="shared" ref="K17" si="5">J17</f>
        <v>432.47</v>
      </c>
      <c r="L17" s="279">
        <f t="shared" ref="L17" si="6">H17+I17-J17</f>
        <v>4980.53</v>
      </c>
      <c r="M17" s="282"/>
    </row>
    <row r="18" spans="1:13" ht="30" customHeight="1" x14ac:dyDescent="0.2">
      <c r="B18" s="275">
        <v>11</v>
      </c>
      <c r="C18" s="276" t="s">
        <v>346</v>
      </c>
      <c r="D18" s="149" t="s">
        <v>266</v>
      </c>
      <c r="E18" s="149" t="s">
        <v>261</v>
      </c>
      <c r="F18" s="278">
        <v>15</v>
      </c>
      <c r="G18" s="279">
        <v>360.8664</v>
      </c>
      <c r="H18" s="280">
        <f t="shared" si="0"/>
        <v>5413</v>
      </c>
      <c r="I18" s="281">
        <v>0</v>
      </c>
      <c r="J18" s="279">
        <f t="shared" si="1"/>
        <v>432.47</v>
      </c>
      <c r="K18" s="279">
        <f t="shared" si="2"/>
        <v>432.47</v>
      </c>
      <c r="L18" s="279">
        <f>H18+I18-J18</f>
        <v>4980.53</v>
      </c>
      <c r="M18" s="282"/>
    </row>
    <row r="19" spans="1:13" ht="30" customHeight="1" x14ac:dyDescent="0.2">
      <c r="B19" s="275">
        <v>12</v>
      </c>
      <c r="C19" s="276" t="s">
        <v>229</v>
      </c>
      <c r="D19" s="149" t="s">
        <v>267</v>
      </c>
      <c r="E19" s="149" t="s">
        <v>261</v>
      </c>
      <c r="F19" s="278">
        <v>15</v>
      </c>
      <c r="G19" s="279">
        <v>360.8664</v>
      </c>
      <c r="H19" s="280">
        <f t="shared" si="0"/>
        <v>5413</v>
      </c>
      <c r="I19" s="281">
        <v>0</v>
      </c>
      <c r="J19" s="279">
        <f t="shared" si="1"/>
        <v>432.47</v>
      </c>
      <c r="K19" s="279">
        <f t="shared" si="2"/>
        <v>432.47</v>
      </c>
      <c r="L19" s="279">
        <f t="shared" si="3"/>
        <v>4980.53</v>
      </c>
      <c r="M19" s="282"/>
    </row>
    <row r="20" spans="1:13" s="29" customFormat="1" ht="30" customHeight="1" x14ac:dyDescent="0.2">
      <c r="A20" s="5"/>
      <c r="B20" s="275">
        <v>13</v>
      </c>
      <c r="C20" s="276" t="s">
        <v>346</v>
      </c>
      <c r="D20" s="342" t="s">
        <v>293</v>
      </c>
      <c r="E20" s="78" t="s">
        <v>261</v>
      </c>
      <c r="F20" s="59">
        <v>15</v>
      </c>
      <c r="G20" s="285">
        <v>360.8664</v>
      </c>
      <c r="H20" s="336">
        <f t="shared" si="0"/>
        <v>5413</v>
      </c>
      <c r="I20" s="337">
        <v>0</v>
      </c>
      <c r="J20" s="338">
        <f t="shared" si="1"/>
        <v>432.47</v>
      </c>
      <c r="K20" s="339">
        <f t="shared" si="2"/>
        <v>432.47</v>
      </c>
      <c r="L20" s="339">
        <f t="shared" ref="L20" si="7">H20+I20-K20</f>
        <v>4980.53</v>
      </c>
      <c r="M20" s="198"/>
    </row>
    <row r="21" spans="1:13" ht="30" customHeight="1" x14ac:dyDescent="0.2">
      <c r="B21" s="275">
        <v>14</v>
      </c>
      <c r="C21" s="276" t="s">
        <v>346</v>
      </c>
      <c r="D21" s="283" t="s">
        <v>268</v>
      </c>
      <c r="E21" s="149" t="s">
        <v>269</v>
      </c>
      <c r="F21" s="278">
        <v>15</v>
      </c>
      <c r="G21" s="279">
        <v>395.53300000000002</v>
      </c>
      <c r="H21" s="280">
        <f t="shared" si="0"/>
        <v>5933</v>
      </c>
      <c r="I21" s="281">
        <v>0</v>
      </c>
      <c r="J21" s="279">
        <f t="shared" si="1"/>
        <v>511.69</v>
      </c>
      <c r="K21" s="279">
        <f t="shared" si="2"/>
        <v>511.69</v>
      </c>
      <c r="L21" s="279">
        <f t="shared" si="3"/>
        <v>5421.31</v>
      </c>
      <c r="M21" s="282"/>
    </row>
    <row r="22" spans="1:13" ht="30" customHeight="1" x14ac:dyDescent="0.2">
      <c r="B22" s="275">
        <v>15</v>
      </c>
      <c r="C22" s="276" t="s">
        <v>229</v>
      </c>
      <c r="D22" s="283" t="s">
        <v>453</v>
      </c>
      <c r="E22" s="149" t="s">
        <v>269</v>
      </c>
      <c r="F22" s="278">
        <v>15</v>
      </c>
      <c r="G22" s="279">
        <v>360.8664</v>
      </c>
      <c r="H22" s="280">
        <f t="shared" ref="H22" si="8">ROUND(F22*G22,2)</f>
        <v>5413</v>
      </c>
      <c r="I22" s="281">
        <v>0</v>
      </c>
      <c r="J22" s="279">
        <f t="shared" ref="J22" si="9"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432.47</v>
      </c>
      <c r="K22" s="279">
        <f t="shared" ref="K22" si="10">J22</f>
        <v>432.47</v>
      </c>
      <c r="L22" s="279">
        <f t="shared" ref="L22" si="11">H22+I22-J22</f>
        <v>4980.53</v>
      </c>
      <c r="M22" s="282"/>
    </row>
    <row r="23" spans="1:13" ht="30" customHeight="1" x14ac:dyDescent="0.2">
      <c r="B23" s="275">
        <v>16</v>
      </c>
      <c r="C23" s="276" t="s">
        <v>229</v>
      </c>
      <c r="D23" s="283" t="s">
        <v>454</v>
      </c>
      <c r="E23" s="149" t="s">
        <v>269</v>
      </c>
      <c r="F23" s="278">
        <v>15</v>
      </c>
      <c r="G23" s="279">
        <v>360.86669999999998</v>
      </c>
      <c r="H23" s="280">
        <f t="shared" ref="H23" si="12">ROUND(F23*G23,2)</f>
        <v>5413</v>
      </c>
      <c r="I23" s="281">
        <v>0</v>
      </c>
      <c r="J23" s="279">
        <f t="shared" ref="J23" si="13"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432.47</v>
      </c>
      <c r="K23" s="279">
        <f t="shared" ref="K23" si="14">J23</f>
        <v>432.47</v>
      </c>
      <c r="L23" s="279">
        <f t="shared" ref="L23" si="15">H23+I23-J23</f>
        <v>4980.53</v>
      </c>
      <c r="M23" s="282"/>
    </row>
    <row r="24" spans="1:13" ht="30" customHeight="1" x14ac:dyDescent="0.2">
      <c r="B24" s="275">
        <v>17</v>
      </c>
      <c r="C24" s="276" t="s">
        <v>229</v>
      </c>
      <c r="D24" s="283" t="s">
        <v>455</v>
      </c>
      <c r="E24" s="149" t="s">
        <v>269</v>
      </c>
      <c r="F24" s="278">
        <v>3</v>
      </c>
      <c r="G24" s="279">
        <v>360.86669999999998</v>
      </c>
      <c r="H24" s="280">
        <f t="shared" ref="H24" si="16">ROUND(F24*G24,2)</f>
        <v>1082.5999999999999</v>
      </c>
      <c r="I24" s="281">
        <v>0</v>
      </c>
      <c r="J24" s="279">
        <f t="shared" ref="J24" si="17"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86.49</v>
      </c>
      <c r="K24" s="279">
        <f t="shared" ref="K24" si="18">J24</f>
        <v>86.49</v>
      </c>
      <c r="L24" s="279">
        <f t="shared" ref="L24" si="19">H24+I24-J24</f>
        <v>996.1099999999999</v>
      </c>
      <c r="M24" s="282"/>
    </row>
    <row r="25" spans="1:13" ht="30" customHeight="1" x14ac:dyDescent="0.2">
      <c r="B25" s="275">
        <v>18</v>
      </c>
      <c r="C25" s="276" t="s">
        <v>346</v>
      </c>
      <c r="D25" s="283" t="s">
        <v>270</v>
      </c>
      <c r="E25" s="149" t="s">
        <v>261</v>
      </c>
      <c r="F25" s="278">
        <v>15</v>
      </c>
      <c r="G25" s="279">
        <v>360.8664</v>
      </c>
      <c r="H25" s="280">
        <f t="shared" si="0"/>
        <v>5413</v>
      </c>
      <c r="I25" s="281">
        <v>0</v>
      </c>
      <c r="J25" s="279">
        <f t="shared" si="1"/>
        <v>432.47</v>
      </c>
      <c r="K25" s="279">
        <f t="shared" si="2"/>
        <v>432.47</v>
      </c>
      <c r="L25" s="279">
        <f t="shared" si="3"/>
        <v>4980.53</v>
      </c>
      <c r="M25" s="282"/>
    </row>
    <row r="26" spans="1:13" ht="30" customHeight="1" x14ac:dyDescent="0.2">
      <c r="B26" s="275">
        <v>19</v>
      </c>
      <c r="C26" s="276" t="s">
        <v>346</v>
      </c>
      <c r="D26" s="283" t="s">
        <v>292</v>
      </c>
      <c r="E26" s="149" t="s">
        <v>261</v>
      </c>
      <c r="F26" s="278">
        <v>15</v>
      </c>
      <c r="G26" s="279">
        <v>360.8664</v>
      </c>
      <c r="H26" s="280">
        <f t="shared" si="0"/>
        <v>5413</v>
      </c>
      <c r="I26" s="281">
        <v>0</v>
      </c>
      <c r="J26" s="279">
        <f t="shared" si="1"/>
        <v>432.47</v>
      </c>
      <c r="K26" s="279">
        <f t="shared" si="2"/>
        <v>432.47</v>
      </c>
      <c r="L26" s="279">
        <f>H26+I26-J26</f>
        <v>4980.53</v>
      </c>
      <c r="M26" s="282"/>
    </row>
    <row r="27" spans="1:13" ht="36.6" customHeight="1" x14ac:dyDescent="0.2">
      <c r="B27" s="275">
        <v>20</v>
      </c>
      <c r="C27" s="276" t="s">
        <v>229</v>
      </c>
      <c r="D27" s="283" t="s">
        <v>271</v>
      </c>
      <c r="E27" s="149" t="s">
        <v>261</v>
      </c>
      <c r="F27" s="278">
        <v>15</v>
      </c>
      <c r="G27" s="279">
        <v>340</v>
      </c>
      <c r="H27" s="280">
        <f t="shared" si="0"/>
        <v>5100</v>
      </c>
      <c r="I27" s="281">
        <v>0</v>
      </c>
      <c r="J27" s="279">
        <f t="shared" si="1"/>
        <v>398.42</v>
      </c>
      <c r="K27" s="279">
        <v>398.42</v>
      </c>
      <c r="L27" s="279">
        <v>4526.91</v>
      </c>
      <c r="M27" s="282"/>
    </row>
    <row r="28" spans="1:13" ht="30" customHeight="1" x14ac:dyDescent="0.2">
      <c r="B28" s="275">
        <v>21</v>
      </c>
      <c r="C28" s="276" t="s">
        <v>346</v>
      </c>
      <c r="D28" s="283" t="s">
        <v>272</v>
      </c>
      <c r="E28" s="149" t="s">
        <v>273</v>
      </c>
      <c r="F28" s="278">
        <v>15</v>
      </c>
      <c r="G28" s="279">
        <v>340</v>
      </c>
      <c r="H28" s="280">
        <f t="shared" si="0"/>
        <v>5100</v>
      </c>
      <c r="I28" s="281">
        <v>0</v>
      </c>
      <c r="J28" s="279">
        <f t="shared" si="1"/>
        <v>398.42</v>
      </c>
      <c r="K28" s="279">
        <v>398.42</v>
      </c>
      <c r="L28" s="279">
        <f t="shared" si="3"/>
        <v>4701.58</v>
      </c>
      <c r="M28" s="282"/>
    </row>
    <row r="29" spans="1:13" ht="30" customHeight="1" x14ac:dyDescent="0.2">
      <c r="B29" s="275">
        <v>22</v>
      </c>
      <c r="C29" s="276" t="s">
        <v>346</v>
      </c>
      <c r="D29" s="283" t="s">
        <v>294</v>
      </c>
      <c r="E29" s="149" t="s">
        <v>49</v>
      </c>
      <c r="F29" s="278">
        <v>15</v>
      </c>
      <c r="G29" s="284">
        <v>153.333</v>
      </c>
      <c r="H29" s="280">
        <f>ROUND(F29*G29,2)</f>
        <v>2300</v>
      </c>
      <c r="I29" s="281">
        <v>0</v>
      </c>
      <c r="J29" s="281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0</v>
      </c>
      <c r="K29" s="281">
        <v>0</v>
      </c>
      <c r="L29" s="279">
        <f>H29+I29-J29</f>
        <v>2300</v>
      </c>
      <c r="M29" s="282"/>
    </row>
    <row r="30" spans="1:13" ht="29.45" customHeight="1" x14ac:dyDescent="0.2">
      <c r="B30" s="275">
        <v>23</v>
      </c>
      <c r="C30" s="276" t="s">
        <v>229</v>
      </c>
      <c r="D30" s="283" t="s">
        <v>274</v>
      </c>
      <c r="E30" s="149" t="s">
        <v>273</v>
      </c>
      <c r="F30" s="278">
        <v>15</v>
      </c>
      <c r="G30" s="279">
        <v>340</v>
      </c>
      <c r="H30" s="280">
        <f t="shared" si="0"/>
        <v>5100</v>
      </c>
      <c r="I30" s="281">
        <v>0</v>
      </c>
      <c r="J30" s="279">
        <f t="shared" si="1"/>
        <v>398.42</v>
      </c>
      <c r="K30" s="279">
        <f t="shared" si="2"/>
        <v>398.42</v>
      </c>
      <c r="L30" s="279">
        <f t="shared" si="3"/>
        <v>4701.58</v>
      </c>
      <c r="M30" s="282"/>
    </row>
    <row r="31" spans="1:13" ht="29.45" customHeight="1" x14ac:dyDescent="0.2">
      <c r="B31" s="275">
        <v>24</v>
      </c>
      <c r="C31" s="276" t="s">
        <v>229</v>
      </c>
      <c r="D31" s="283" t="s">
        <v>275</v>
      </c>
      <c r="E31" s="149" t="s">
        <v>273</v>
      </c>
      <c r="F31" s="278">
        <v>15</v>
      </c>
      <c r="G31" s="279">
        <v>340</v>
      </c>
      <c r="H31" s="280">
        <f t="shared" si="0"/>
        <v>5100</v>
      </c>
      <c r="I31" s="281">
        <v>0</v>
      </c>
      <c r="J31" s="279">
        <f t="shared" si="1"/>
        <v>398.42</v>
      </c>
      <c r="K31" s="279">
        <f>J31</f>
        <v>398.42</v>
      </c>
      <c r="L31" s="279">
        <f>H31+I31-J31</f>
        <v>4701.58</v>
      </c>
      <c r="M31" s="282"/>
    </row>
    <row r="32" spans="1:13" ht="29.45" customHeight="1" x14ac:dyDescent="0.2">
      <c r="B32" s="275">
        <v>25</v>
      </c>
      <c r="C32" s="276" t="s">
        <v>229</v>
      </c>
      <c r="D32" s="283" t="s">
        <v>276</v>
      </c>
      <c r="E32" s="149" t="s">
        <v>273</v>
      </c>
      <c r="F32" s="278">
        <v>15</v>
      </c>
      <c r="G32" s="279">
        <v>340</v>
      </c>
      <c r="H32" s="280">
        <f t="shared" si="0"/>
        <v>5100</v>
      </c>
      <c r="I32" s="281">
        <v>0</v>
      </c>
      <c r="J32" s="279">
        <f t="shared" si="1"/>
        <v>398.42</v>
      </c>
      <c r="K32" s="279">
        <f>J32</f>
        <v>398.42</v>
      </c>
      <c r="L32" s="279">
        <f>H32+I32-J32</f>
        <v>4701.58</v>
      </c>
      <c r="M32" s="282"/>
    </row>
    <row r="33" spans="1:13" ht="18" customHeight="1" x14ac:dyDescent="0.2">
      <c r="B33" s="426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8"/>
    </row>
    <row r="34" spans="1:13" ht="18" customHeight="1" x14ac:dyDescent="0.2">
      <c r="B34" s="423" t="s">
        <v>17</v>
      </c>
      <c r="C34" s="399"/>
      <c r="D34" s="406"/>
      <c r="E34" s="406"/>
      <c r="F34" s="406"/>
      <c r="G34" s="406"/>
      <c r="H34" s="209">
        <f>SUM(H8:H32)</f>
        <v>130295.6</v>
      </c>
      <c r="I34" s="209">
        <f>SUM(I8:I32)</f>
        <v>0</v>
      </c>
      <c r="J34" s="209">
        <f>SUM(J8:J32)</f>
        <v>10540.540000000003</v>
      </c>
      <c r="K34" s="209">
        <f>SUM(K8:K32)</f>
        <v>10540.540000000003</v>
      </c>
      <c r="L34" s="209">
        <f>SUM(L8:L32)</f>
        <v>119580.39</v>
      </c>
      <c r="M34" s="210"/>
    </row>
    <row r="35" spans="1:13" ht="18" customHeight="1" x14ac:dyDescent="0.2">
      <c r="A35" s="5" t="s">
        <v>277</v>
      </c>
      <c r="B35" s="192"/>
      <c r="C35" s="193"/>
      <c r="E35" s="199"/>
      <c r="F35" s="103"/>
      <c r="G35" s="103"/>
      <c r="H35" s="103"/>
      <c r="I35" s="194"/>
      <c r="J35" s="103"/>
      <c r="K35" s="103"/>
      <c r="L35" s="103"/>
      <c r="M35" s="212"/>
    </row>
    <row r="36" spans="1:13" ht="12" customHeight="1" x14ac:dyDescent="0.2">
      <c r="A36" s="5" t="s">
        <v>28</v>
      </c>
      <c r="B36" s="192"/>
      <c r="C36" s="193"/>
      <c r="E36" s="199"/>
      <c r="F36" s="103"/>
      <c r="G36" s="103"/>
      <c r="H36" s="103"/>
      <c r="I36" s="194"/>
      <c r="J36" s="103"/>
      <c r="K36" s="103"/>
      <c r="L36" s="213"/>
      <c r="M36" s="214"/>
    </row>
    <row r="37" spans="1:13" x14ac:dyDescent="0.2">
      <c r="B37" s="74"/>
      <c r="M37" s="216"/>
    </row>
    <row r="38" spans="1:13" x14ac:dyDescent="0.2">
      <c r="B38" s="74"/>
      <c r="M38" s="95"/>
    </row>
    <row r="39" spans="1:13" x14ac:dyDescent="0.2">
      <c r="B39" s="74"/>
      <c r="M39" s="95"/>
    </row>
    <row r="40" spans="1:13" ht="13.5" x14ac:dyDescent="0.2">
      <c r="B40" s="74"/>
      <c r="D40" s="221" t="s">
        <v>301</v>
      </c>
      <c r="E40" s="5"/>
      <c r="F40" s="5"/>
      <c r="G40" s="5"/>
      <c r="H40" s="32"/>
      <c r="I40" s="32"/>
      <c r="J40" s="5"/>
      <c r="K40" s="360" t="s">
        <v>178</v>
      </c>
      <c r="L40" s="360"/>
      <c r="M40" s="422"/>
    </row>
    <row r="41" spans="1:13" ht="12.95" customHeight="1" thickBot="1" x14ac:dyDescent="0.25">
      <c r="B41" s="75"/>
      <c r="C41" s="76"/>
      <c r="D41" s="424" t="s">
        <v>95</v>
      </c>
      <c r="E41" s="424"/>
      <c r="F41" s="76"/>
      <c r="G41" s="76"/>
      <c r="H41" s="77"/>
      <c r="I41" s="77"/>
      <c r="J41" s="76"/>
      <c r="K41" s="363" t="s">
        <v>179</v>
      </c>
      <c r="L41" s="363"/>
      <c r="M41" s="364"/>
    </row>
    <row r="43" spans="1:13" x14ac:dyDescent="0.2">
      <c r="K43" s="25" t="s">
        <v>73</v>
      </c>
      <c r="L43" s="110">
        <f>L19+L27+L30+L31+L32+L22+L23+L24</f>
        <v>34569.35</v>
      </c>
    </row>
    <row r="45" spans="1:13" x14ac:dyDescent="0.2">
      <c r="K45" s="25" t="s">
        <v>74</v>
      </c>
      <c r="L45" s="110">
        <f>L8+L10+L11+L12+L13+L14+L15+L16+L18+L21+L25+L26+L28+L29+L9+L17+L20</f>
        <v>85011.039999999979</v>
      </c>
    </row>
    <row r="46" spans="1:13" x14ac:dyDescent="0.2">
      <c r="L46" s="110">
        <f>L43+L45</f>
        <v>119580.38999999998</v>
      </c>
    </row>
    <row r="48" spans="1:13" x14ac:dyDescent="0.2">
      <c r="K48" s="25" t="s">
        <v>186</v>
      </c>
      <c r="L48" s="111">
        <f>L34-L46</f>
        <v>0</v>
      </c>
    </row>
  </sheetData>
  <mergeCells count="9">
    <mergeCell ref="B34:G34"/>
    <mergeCell ref="K40:M40"/>
    <mergeCell ref="D41:E41"/>
    <mergeCell ref="K41:M41"/>
    <mergeCell ref="E2:J2"/>
    <mergeCell ref="E4:J4"/>
    <mergeCell ref="K5:M5"/>
    <mergeCell ref="D6:I6"/>
    <mergeCell ref="B33:M33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SEG. PUBLICA</vt:lpstr>
      <vt:lpstr>PROT.CIVIL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2024-10-30T19:50:55Z</cp:lastPrinted>
  <dcterms:created xsi:type="dcterms:W3CDTF">2000-05-05T04:08:27Z</dcterms:created>
  <dcterms:modified xsi:type="dcterms:W3CDTF">2024-11-25T16:50:57Z</dcterms:modified>
</cp:coreProperties>
</file>